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17BAB958-DD8C-4AA1-BF7A-A87FE9EDDC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1 Calc" sheetId="8" r:id="rId1"/>
    <sheet name="DAC Calc" sheetId="11" r:id="rId2"/>
    <sheet name="Offset Errors" sheetId="9" r:id="rId3"/>
    <sheet name="Gain Errors" sheetId="10" r:id="rId4"/>
  </sheets>
  <calcPr calcId="191029"/>
</workbook>
</file>

<file path=xl/calcChain.xml><?xml version="1.0" encoding="utf-8"?>
<calcChain xmlns="http://schemas.openxmlformats.org/spreadsheetml/2006/main">
  <c r="D13" i="9" l="1"/>
  <c r="C13" i="9"/>
  <c r="D13" i="10"/>
  <c r="C13" i="10"/>
  <c r="E23" i="9"/>
  <c r="H23" i="9" l="1"/>
  <c r="C41" i="11"/>
  <c r="C40" i="11"/>
  <c r="C18" i="11"/>
  <c r="C9" i="11"/>
  <c r="C15" i="11"/>
  <c r="C29" i="8"/>
  <c r="C27" i="8"/>
  <c r="H32" i="10" l="1"/>
  <c r="H23" i="10"/>
  <c r="E23" i="10"/>
  <c r="C42" i="11" l="1"/>
  <c r="E32" i="10" l="1"/>
  <c r="C11" i="11"/>
  <c r="H35" i="9"/>
  <c r="H34" i="9"/>
  <c r="C10" i="11"/>
  <c r="E34" i="9" l="1"/>
  <c r="E33" i="9"/>
  <c r="E35" i="9"/>
  <c r="I35" i="9"/>
  <c r="I34" i="9"/>
  <c r="I32" i="10" l="1"/>
  <c r="I23" i="10"/>
  <c r="H24" i="10"/>
  <c r="I24" i="10" s="1"/>
  <c r="H33" i="10"/>
  <c r="I33" i="10" s="1"/>
  <c r="I23" i="9" l="1"/>
  <c r="H33" i="9"/>
  <c r="I33" i="9" s="1"/>
  <c r="N32" i="10"/>
  <c r="M32" i="10"/>
  <c r="M23" i="10"/>
  <c r="N23" i="10"/>
  <c r="N33" i="10"/>
  <c r="M33" i="10"/>
  <c r="N24" i="10"/>
  <c r="M24" i="10"/>
  <c r="H26" i="9"/>
  <c r="I26" i="9" s="1"/>
  <c r="K26" i="9" s="1"/>
  <c r="C15" i="8"/>
  <c r="C40" i="8"/>
  <c r="C39" i="8"/>
  <c r="C36" i="8"/>
  <c r="C35" i="8"/>
  <c r="H37" i="9" l="1"/>
  <c r="I37" i="9" s="1"/>
  <c r="K37" i="9" s="1"/>
  <c r="J33" i="9"/>
  <c r="K33" i="9" s="1"/>
  <c r="J34" i="9"/>
  <c r="K34" i="9" s="1"/>
  <c r="J35" i="9"/>
  <c r="K35" i="9" s="1"/>
  <c r="J23" i="9"/>
  <c r="N33" i="9"/>
  <c r="C18" i="8"/>
  <c r="H38" i="9"/>
  <c r="I38" i="9" s="1"/>
  <c r="K38" i="9" s="1"/>
  <c r="C37" i="8"/>
  <c r="C41" i="8"/>
  <c r="C25" i="8"/>
  <c r="H25" i="9"/>
  <c r="I25" i="9" s="1"/>
  <c r="K25" i="9" s="1"/>
  <c r="K23" i="9" l="1"/>
  <c r="M23" i="9" s="1"/>
  <c r="N23" i="9"/>
  <c r="M33" i="9"/>
  <c r="N35" i="9"/>
  <c r="M35" i="9"/>
  <c r="N34" i="9"/>
  <c r="M34" i="9"/>
  <c r="M25" i="9"/>
  <c r="M38" i="9"/>
  <c r="N26" i="9"/>
  <c r="M26" i="9"/>
  <c r="N37" i="9"/>
  <c r="M37" i="9"/>
  <c r="H36" i="9"/>
  <c r="I36" i="9" s="1"/>
  <c r="H24" i="9"/>
  <c r="I24" i="9" s="1"/>
  <c r="K24" i="9" s="1"/>
  <c r="H34" i="10"/>
  <c r="I34" i="10" s="1"/>
  <c r="H25" i="10"/>
  <c r="I25" i="10" s="1"/>
  <c r="H35" i="10"/>
  <c r="I35" i="10" s="1"/>
  <c r="H26" i="10"/>
  <c r="I26" i="10" s="1"/>
  <c r="K36" i="9" l="1"/>
  <c r="M36" i="9" s="1"/>
  <c r="N25" i="9"/>
  <c r="N38" i="9"/>
  <c r="M41" i="9"/>
  <c r="N36" i="9"/>
  <c r="N26" i="10"/>
  <c r="M26" i="10"/>
  <c r="N35" i="10"/>
  <c r="M35" i="10"/>
  <c r="N25" i="10"/>
  <c r="N29" i="10" s="1"/>
  <c r="M25" i="10"/>
  <c r="M29" i="10" s="1"/>
  <c r="N34" i="10"/>
  <c r="M34" i="10"/>
  <c r="M38" i="10" s="1"/>
  <c r="N24" i="9"/>
  <c r="M24" i="9"/>
  <c r="N29" i="9" l="1"/>
  <c r="N38" i="10"/>
  <c r="N41" i="9"/>
  <c r="M29" i="9"/>
  <c r="E13" i="9" s="1"/>
  <c r="F13" i="9" s="1"/>
  <c r="G13" i="9" s="1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B4E4D47E-37FB-46FE-8F6B-8A7C7BF05BBB}">
      <text>
        <r>
          <rPr>
            <sz val="9"/>
            <color indexed="81"/>
            <rFont val="Tahoma"/>
            <family val="2"/>
          </rPr>
          <t>Get the total error from Worst Case Analysis (WCA). 
Change to Root Sum Square (RSS) total error if desired.</t>
        </r>
      </text>
    </comment>
    <comment ref="D12" authorId="0" shapeId="0" xr:uid="{EB2C6DB9-59DB-4159-A5AF-3A8B6AB402FD}">
      <text>
        <r>
          <rPr>
            <sz val="9"/>
            <color indexed="81"/>
            <rFont val="Tahoma"/>
            <family val="2"/>
          </rPr>
          <t>Get the total error from Worst Case Analysis (WCA). 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3" authorId="0" shapeId="0" xr:uid="{88E97CA2-400F-48E6-9F4B-F41EBB7B1B04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Vlsb (from ADC Calc sheet)
  err_V = err_LSB * Vlsb</t>
        </r>
      </text>
    </comment>
    <comment ref="B27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2" authorId="0" shapeId="0" xr:uid="{C52C09C4-C81D-47CA-BB28-D2F111DCD6AB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3" authorId="0" shapeId="0" xr:uid="{E05769A0-1D43-49EC-8059-66A3E0F4F68A}">
      <text>
        <r>
          <rPr>
            <sz val="9"/>
            <color indexed="81"/>
            <rFont val="Tahoma"/>
            <family val="2"/>
          </rPr>
          <t>Error often spec'd in output LSBs (per C).
Enter LSBs into formula that converts output LSB to input V by Vres (from ADC Calc sheet)
  err_V = err_LSB * Vlsb</t>
        </r>
      </text>
    </comment>
    <comment ref="E34" authorId="0" shapeId="0" xr:uid="{676B1D6A-4900-4E92-AE49-F5899CF6BC5C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E35" authorId="0" shapeId="0" xr:uid="{75AC7DFD-1780-4032-8D8E-D4A7A610C4DF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B39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0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0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54ABB571-343B-4C2D-9CD7-852313707410}">
      <text>
        <r>
          <rPr>
            <sz val="9"/>
            <color indexed="81"/>
            <rFont val="Tahoma"/>
            <family val="2"/>
          </rPr>
          <t>Get the total error from Worst Case Analysis (WCA). 
Change to Root Sum Square (RSS) total error if desired.</t>
        </r>
      </text>
    </comment>
    <comment ref="D12" authorId="0" shapeId="0" xr:uid="{7EC5F0F7-5A79-4D36-8088-8865182A608B}">
      <text>
        <r>
          <rPr>
            <sz val="9"/>
            <color indexed="81"/>
            <rFont val="Tahoma"/>
            <family val="2"/>
          </rPr>
          <t>Get the total error from Worst Case Analysis (WCA). 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3" authorId="0" shapeId="0" xr:uid="{E50D9FC5-EE99-4FF6-B7CD-A0B834562D69}">
      <text>
        <r>
          <rPr>
            <sz val="9"/>
            <color indexed="81"/>
            <rFont val="Tahoma"/>
            <family val="2"/>
          </rPr>
          <t>Error often spec'd in output LSB
Enter LSB into formula that converts LSB to % using N bits (from ADC Calc sheet).
  err_% = err_LSB / (2^N)*100%</t>
        </r>
      </text>
    </comment>
    <comment ref="B27" authorId="0" shapeId="0" xr:uid="{04DF4B6A-D2D7-403D-A9A8-5894F1C687F5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2" authorId="0" shapeId="0" xr:uid="{ACC98D57-B341-40ED-A50E-7C4579D1EDB5}">
      <text>
        <r>
          <rPr>
            <sz val="9"/>
            <color indexed="81"/>
            <rFont val="Tahoma"/>
            <family val="2"/>
          </rPr>
          <t>Error often spec'd in output LSB (per C) 
Enter LSB into formula that converts LSB to ppm using N bits (from ADC Calc sheet).
 ppm_err = LSB_err/(2^N)*1e6</t>
        </r>
      </text>
    </comment>
    <comment ref="B36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7" authorId="0" shapeId="0" xr:uid="{9F9A46B0-A302-4FF8-A6D6-457FF32A941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7" authorId="0" shapeId="0" xr:uid="{8B983ADE-2AEC-493B-A609-16097AB27CF7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<sst xmlns="http://schemas.openxmlformats.org/spreadsheetml/2006/main" count="369" uniqueCount="183">
  <si>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</si>
  <si>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</si>
  <si>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</si>
  <si>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</si>
  <si>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</si>
  <si>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</si>
  <si>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</si>
  <si>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</si>
  <si>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</si>
  <si>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</si>
  <si>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</si>
  <si>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</si>
  <si>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</si>
  <si>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</si>
  <si>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</si>
  <si>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</si>
  <si>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</si>
  <si>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</si>
  <si>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</si>
  <si>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</si>
  <si>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</si>
  <si>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</si>
  <si>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</si>
  <si>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</si>
  <si>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</si>
  <si>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</si>
  <si>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</si>
  <si>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</si>
  <si>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</si>
  <si>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</si>
  <si>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</si>
  <si>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</si>
  <si>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</si>
  <si>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</si>
  <si>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</si>
  <si>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</si>
  <si>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</si>
  <si>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</si>
  <si>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</si>
  <si>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</si>
  <si>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>R2/R1+1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</si>
  <si>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</si>
  <si>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</si>
  <si>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</si>
  <si>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</si>
  <si>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</si>
  <si>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</si>
  <si>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</si>
  <si>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</si>
  <si>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</si>
  <si>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</si>
  <si>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</si>
  <si>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</si>
  <si>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</si>
  <si>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Components</t>
  </si>
  <si>
    <t>Name</t>
  </si>
  <si>
    <t>vin_FS</t>
  </si>
  <si>
    <t>abs(ΔVoffset_rti)</t>
  </si>
  <si>
    <t>Δvoffset_rti^2</t>
  </si>
  <si>
    <t>Drift Errors</t>
  </si>
  <si>
    <t>in</t>
  </si>
  <si>
    <t>out</t>
  </si>
  <si>
    <t>U1 voff</t>
  </si>
  <si>
    <t>R2/(R1*1.01)+1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</si>
  <si>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</si>
  <si>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</si>
  <si>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</si>
  <si>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</si>
  <si>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</si>
  <si>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</si>
  <si>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</si>
  <si>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</si>
  <si>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voff = K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</si>
  <si>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</si>
  <si>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</si>
  <si>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</si>
  <si>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</si>
  <si>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</si>
  <si>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</si>
  <si>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</si>
  <si>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</si>
  <si>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</si>
  <si>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voff_TC</t>
  </si>
  <si>
    <t>S, Analysis Node</t>
  </si>
  <si>
    <t>S, vo</t>
  </si>
  <si>
    <t>vo/vin = R2/R1 + 1</t>
  </si>
  <si>
    <t>vo_FS</t>
  </si>
  <si>
    <t>vo_FS = vin_FS * K</t>
  </si>
  <si>
    <t>Analysis Node</t>
  </si>
  <si>
    <t>Va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</si>
  <si>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</si>
  <si>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</si>
  <si>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</si>
  <si>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</si>
  <si>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</si>
  <si>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</si>
  <si>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</si>
  <si>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</si>
  <si>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</si>
  <si>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</si>
  <si>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</si>
  <si>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</si>
  <si>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</si>
  <si>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</si>
  <si>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</si>
  <si>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</si>
  <si>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Max input signal</t>
  </si>
  <si>
    <t>Circuit Calc - ADC</t>
  </si>
  <si>
    <t>Components &amp; Parameters</t>
  </si>
  <si>
    <t>ADC</t>
  </si>
  <si>
    <t>Reference</t>
  </si>
  <si>
    <t>Vref</t>
  </si>
  <si>
    <t>Resolution (Bits)</t>
  </si>
  <si>
    <t>N</t>
  </si>
  <si>
    <t>2^N-1</t>
  </si>
  <si>
    <t>S, vadc</t>
  </si>
  <si>
    <t>U1 Gain err</t>
  </si>
  <si>
    <t>U2 Vref Tol</t>
  </si>
  <si>
    <t>U2, ADC, Tol</t>
  </si>
  <si>
    <t>U2, ADC, Gain TC</t>
  </si>
  <si>
    <t>U3, VREF, Gain TC</t>
  </si>
  <si>
    <t>vo1</t>
  </si>
  <si>
    <t>Kadc (Vref*1.01)</t>
  </si>
  <si>
    <t xml:space="preserve">K' is the gain with a 1% change to calc S. </t>
  </si>
  <si>
    <t>S   (How does each error source contribute to the Analysis Node)</t>
  </si>
  <si>
    <t>Circuit Calc - Amp1</t>
  </si>
  <si>
    <t xml:space="preserve">Vref/2^N </t>
  </si>
  <si>
    <t xml:space="preserve">Resolution </t>
  </si>
  <si>
    <t>Gain</t>
  </si>
  <si>
    <t>Vlsb (V/LSB)</t>
  </si>
  <si>
    <t>Rs</t>
  </si>
  <si>
    <t>Res</t>
  </si>
  <si>
    <t>INL</t>
  </si>
  <si>
    <t>U3, Vref, Tol</t>
  </si>
  <si>
    <t>(analog, 0 to Vref)</t>
  </si>
  <si>
    <t>(digital, 0 to 2^N-1)</t>
  </si>
  <si>
    <t>Gain TC</t>
  </si>
  <si>
    <t>Vref TC</t>
  </si>
  <si>
    <t>Gain Tol</t>
  </si>
  <si>
    <t>Vref Tol</t>
  </si>
  <si>
    <t>U1 ib</t>
  </si>
  <si>
    <t>S = vo / ib = Rs*(R2/R1+1) - R2</t>
  </si>
  <si>
    <t>U1 iboff</t>
  </si>
  <si>
    <t>S = vo / iboff = 1/2*(Rs*(R2/R1+1) + R2)</t>
  </si>
  <si>
    <t>ib</t>
  </si>
  <si>
    <t>iboff</t>
  </si>
  <si>
    <t>ib_TC</t>
  </si>
  <si>
    <t>iboff_TC</t>
  </si>
  <si>
    <t>DACword_max</t>
  </si>
  <si>
    <t>Digital In</t>
  </si>
  <si>
    <t>Analog Out</t>
  </si>
  <si>
    <t>DACword</t>
  </si>
  <si>
    <t>vdac</t>
  </si>
  <si>
    <t>Kdac = vdac/DACword = vref / (2^N-1)</t>
  </si>
  <si>
    <t>Kdac (V/LSB)</t>
  </si>
  <si>
    <t>counts</t>
  </si>
  <si>
    <t>2^N</t>
  </si>
  <si>
    <t>vdac = DACword * Kdac</t>
  </si>
  <si>
    <t>U1 voff, vres, vinl</t>
  </si>
  <si>
    <t>S = 1, errors directly in series with vadc</t>
  </si>
  <si>
    <t>Kdac directy defines gain of block, therefore S=1</t>
  </si>
  <si>
    <t>Kdac = vref / (2^N-1)</t>
  </si>
  <si>
    <t>vo2</t>
  </si>
  <si>
    <t>DAC</t>
  </si>
  <si>
    <t>U1 DAC, voff</t>
  </si>
  <si>
    <t>U1, DAC, voff_TC</t>
  </si>
  <si>
    <t>U1, DAC, Res</t>
  </si>
  <si>
    <t>U1, DAC, INL</t>
  </si>
  <si>
    <t>REF001</t>
  </si>
  <si>
    <t>DAC001</t>
  </si>
  <si>
    <t>Offset Error RTO</t>
  </si>
  <si>
    <t>ΔVoffset_rto = 
ΔVoffset * Ka</t>
  </si>
  <si>
    <t>Gain from analysis node to output</t>
  </si>
  <si>
    <t>Ka = vo/Va</t>
  </si>
  <si>
    <t>Offset Errors - DAC, Amp</t>
  </si>
  <si>
    <t>Gain Errors - DAC, Amp</t>
  </si>
  <si>
    <t>Amp</t>
  </si>
  <si>
    <t>U3 ib</t>
  </si>
  <si>
    <t>U3 voff</t>
  </si>
  <si>
    <t>U3 iboff</t>
  </si>
  <si>
    <t>U3 voff TC</t>
  </si>
  <si>
    <t>U3 ib TC</t>
  </si>
  <si>
    <t>U3 iboff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</si>
</sst>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7-4419-92AE-775585F057E5}"/>
              </c:ext>
            </c:extLst>
          </c:dPt>
          <c:cat>
            <c:strRef>
              <c:f>'Offset Errors'!$B$23:$B$27</c:f>
              <c:strCache>
                <c:ptCount val="5"/>
                <c:pt idx="0">
                  <c:v>U1 DAC, voff</c:v>
                </c:pt>
                <c:pt idx="1">
                  <c:v>U3 voff</c:v>
                </c:pt>
                <c:pt idx="2">
                  <c:v>U3 ib</c:v>
                </c:pt>
                <c:pt idx="3">
                  <c:v>U3 iboff</c:v>
                </c:pt>
                <c:pt idx="4">
                  <c:v>end</c:v>
                </c:pt>
              </c:strCache>
            </c:strRef>
          </c:cat>
          <c:val>
            <c:numRef>
              <c:f>'Offset Errors'!$M$23:$M$27</c:f>
              <c:numCache>
                <c:formatCode>0.000000</c:formatCode>
                <c:ptCount val="5"/>
                <c:pt idx="0">
                  <c:v>4.8828125E-3</c:v>
                </c:pt>
                <c:pt idx="1">
                  <c:v>2E-3</c:v>
                </c:pt>
                <c:pt idx="2">
                  <c:v>9.7999999999999997E-4</c:v>
                </c:pt>
                <c:pt idx="3">
                  <c:v>2.5500000000000002E-4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071530777099103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449726614054462"/>
          <c:y val="0.21095618708461406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8-48A3-BB59-0101343A6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38-48A3-BB59-0101343A6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138-48A3-BB59-0101343A6B51}"/>
              </c:ext>
            </c:extLst>
          </c:dPt>
          <c:cat>
            <c:strRef>
              <c:f>'Offset Errors'!$B$33:$B$39</c:f>
              <c:strCache>
                <c:ptCount val="7"/>
                <c:pt idx="0">
                  <c:v>U1, DAC, voff_TC</c:v>
                </c:pt>
                <c:pt idx="1">
                  <c:v>U1, DAC, Res</c:v>
                </c:pt>
                <c:pt idx="2">
                  <c:v>U1, DAC, INL</c:v>
                </c:pt>
                <c:pt idx="3">
                  <c:v>U3 voff TC</c:v>
                </c:pt>
                <c:pt idx="4">
                  <c:v>U3 ib TC</c:v>
                </c:pt>
                <c:pt idx="5">
                  <c:v>U3 iboff TC</c:v>
                </c:pt>
                <c:pt idx="6">
                  <c:v>end</c:v>
                </c:pt>
              </c:strCache>
            </c:strRef>
          </c:cat>
          <c:val>
            <c:numRef>
              <c:f>'Offset Errors'!$M$33:$M$39</c:f>
              <c:numCache>
                <c:formatCode>0.000000</c:formatCode>
                <c:ptCount val="7"/>
                <c:pt idx="0">
                  <c:v>2.9296875E-3</c:v>
                </c:pt>
                <c:pt idx="1">
                  <c:v>1.220703125E-3</c:v>
                </c:pt>
                <c:pt idx="2">
                  <c:v>2.44140625E-3</c:v>
                </c:pt>
                <c:pt idx="3">
                  <c:v>6.0000000000000006E-4</c:v>
                </c:pt>
                <c:pt idx="4">
                  <c:v>5.8800000000000007E-3</c:v>
                </c:pt>
                <c:pt idx="5">
                  <c:v>1.5300000000000001E-3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761895180136859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D-4A2F-8095-9441D0A684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D-4A2F-8095-9441D0A684C9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U2, ADC, Tol</c:v>
                </c:pt>
                <c:pt idx="1">
                  <c:v>U3, Vref, Tol</c:v>
                </c:pt>
                <c:pt idx="2">
                  <c:v>R2 Tol</c:v>
                </c:pt>
                <c:pt idx="3">
                  <c:v>R1 Tol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4.8828125E-2</c:v>
                </c:pt>
                <c:pt idx="1">
                  <c:v>0.5</c:v>
                </c:pt>
                <c:pt idx="2">
                  <c:v>4.9999999999998934E-2</c:v>
                </c:pt>
                <c:pt idx="3">
                  <c:v>4.9504950495049549E-2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80163284648557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73859084125371"/>
          <c:y val="0.20520791165441404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F-48C7-A01D-FA670F13E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F-48C7-A01D-FA670F13E11D}"/>
              </c:ext>
            </c:extLst>
          </c:dPt>
          <c:cat>
            <c:strRef>
              <c:f>'Gain Errors'!$B$32:$B$36</c:f>
              <c:strCache>
                <c:ptCount val="5"/>
                <c:pt idx="0">
                  <c:v>U2, ADC, Gain TC</c:v>
                </c:pt>
                <c:pt idx="1">
                  <c:v>U3, VREF, Gain TC</c:v>
                </c:pt>
                <c:pt idx="2">
                  <c:v>R2 TC</c:v>
                </c:pt>
                <c:pt idx="3">
                  <c:v>R1 TC</c:v>
                </c:pt>
                <c:pt idx="4">
                  <c:v>end</c:v>
                </c:pt>
              </c:strCache>
            </c:strRef>
          </c:cat>
          <c:val>
            <c:numRef>
              <c:f>'Gain Errors'!$M$32:$M$36</c:f>
              <c:numCache>
                <c:formatCode>0.000</c:formatCode>
                <c:ptCount val="5"/>
                <c:pt idx="0">
                  <c:v>5.859375E-2</c:v>
                </c:pt>
                <c:pt idx="1">
                  <c:v>0.15</c:v>
                </c:pt>
                <c:pt idx="2">
                  <c:v>0.1499999999999968</c:v>
                </c:pt>
                <c:pt idx="3">
                  <c:v>0.14851485148514865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9167826565077368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57728</xdr:colOff>
      <xdr:row>5</xdr:row>
      <xdr:rowOff>57728</xdr:rowOff>
    </xdr:from>
    <xdr:to>
      <xdr:col>15</xdr:col>
      <xdr:colOff>46182</xdr:colOff>
      <xdr:row>16</xdr:row>
      <xdr:rowOff>164484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ACDC2-E8F2-FDAE-3CE7-8465CF28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728" y="1073728"/>
          <a:ext cx="6465454" cy="2138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145144</xdr:colOff>
      <xdr:row>5</xdr:row>
      <xdr:rowOff>90714</xdr:rowOff>
    </xdr:from>
    <xdr:to>
      <xdr:col>16</xdr:col>
      <xdr:colOff>387598</xdr:colOff>
      <xdr:row>17</xdr:row>
      <xdr:rowOff>52328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B4D7B-9FE8-4D53-BB3C-6C3236C9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358" y="1097643"/>
          <a:ext cx="6465454" cy="2138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0</xdr:rowOff>
    </xdr:from>
    <xdr:to>
      <xdr:col>9</xdr:col>
      <xdr:colOff>814294</xdr:colOff>
      <xdr:row>16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31751</xdr:rowOff>
    </xdr:from>
    <xdr:to>
      <xdr:col>12</xdr:col>
      <xdr:colOff>896471</xdr:colOff>
      <xdr:row>17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7"/>
  <sheetViews>
    <sheetView tabSelected="1" zoomScale="70" zoomScaleNormal="70" workbookViewId="0">
      <selection activeCell="D11" sqref="D11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125</v>
      </c>
      <c r="F1" s="1"/>
    </row>
    <row r="2" spans="1:8" ht="15.5" x14ac:dyDescent="0.35">
      <c r="A2" s="46" t="s">
        <v>101</v>
      </c>
      <c r="E2" s="3"/>
      <c r="F2" s="2" t="s">
        <v>18</v>
      </c>
    </row>
    <row r="3" spans="1:8" x14ac:dyDescent="0.35">
      <c r="E3" s="4"/>
      <c r="F3" s="2" t="s">
        <v>19</v>
      </c>
      <c r="H3" s="1"/>
    </row>
    <row r="4" spans="1:8" x14ac:dyDescent="0.35">
      <c r="F4" s="1"/>
      <c r="G4" s="1"/>
      <c r="H4" s="1"/>
    </row>
    <row r="5" spans="1:8" x14ac:dyDescent="0.35">
      <c r="A5" s="5" t="s">
        <v>74</v>
      </c>
      <c r="B5" s="5"/>
      <c r="C5" s="5"/>
      <c r="D5" s="5"/>
      <c r="E5" s="5"/>
    </row>
    <row r="7" spans="1:8" x14ac:dyDescent="0.35">
      <c r="A7" t="s">
        <v>54</v>
      </c>
      <c r="B7" s="3" t="s">
        <v>1</v>
      </c>
      <c r="C7" s="1">
        <v>100000</v>
      </c>
    </row>
    <row r="8" spans="1:8" x14ac:dyDescent="0.35">
      <c r="B8" s="3" t="s">
        <v>2</v>
      </c>
      <c r="C8" s="1">
        <v>100000</v>
      </c>
    </row>
    <row r="10" spans="1:8" x14ac:dyDescent="0.35">
      <c r="B10" s="3" t="s">
        <v>130</v>
      </c>
      <c r="C10" s="1">
        <v>1000</v>
      </c>
    </row>
    <row r="12" spans="1:8" x14ac:dyDescent="0.35">
      <c r="A12" t="s">
        <v>52</v>
      </c>
      <c r="B12" s="3" t="s">
        <v>60</v>
      </c>
      <c r="C12" s="1" t="s">
        <v>121</v>
      </c>
    </row>
    <row r="13" spans="1:8" x14ac:dyDescent="0.35">
      <c r="A13" t="s">
        <v>42</v>
      </c>
      <c r="B13" s="3" t="s">
        <v>61</v>
      </c>
      <c r="C13" s="1" t="s">
        <v>162</v>
      </c>
    </row>
    <row r="15" spans="1:8" x14ac:dyDescent="0.35">
      <c r="A15" t="s">
        <v>6</v>
      </c>
      <c r="B15" s="4" t="s">
        <v>3</v>
      </c>
      <c r="C15" s="6">
        <f>$C$8/$C$7+1</f>
        <v>2</v>
      </c>
      <c r="D15" t="s">
        <v>85</v>
      </c>
    </row>
    <row r="17" spans="1:10" x14ac:dyDescent="0.35">
      <c r="A17" t="s">
        <v>67</v>
      </c>
      <c r="B17" s="3" t="s">
        <v>56</v>
      </c>
      <c r="C17" s="10">
        <v>5</v>
      </c>
      <c r="D17" s="19" t="s">
        <v>106</v>
      </c>
    </row>
    <row r="18" spans="1:10" x14ac:dyDescent="0.35">
      <c r="B18" s="4" t="s">
        <v>86</v>
      </c>
      <c r="C18" s="10">
        <f>C17*C15</f>
        <v>10</v>
      </c>
      <c r="D18" t="s">
        <v>87</v>
      </c>
    </row>
    <row r="21" spans="1:10" x14ac:dyDescent="0.35">
      <c r="A21" s="15" t="s">
        <v>45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t="s">
        <v>100</v>
      </c>
      <c r="B22" s="9"/>
      <c r="E22" s="9"/>
    </row>
    <row r="23" spans="1:10" x14ac:dyDescent="0.35">
      <c r="A23" s="7"/>
      <c r="B23" s="9"/>
      <c r="E23" s="9"/>
    </row>
    <row r="24" spans="1:10" x14ac:dyDescent="0.35">
      <c r="A24" s="8"/>
      <c r="B24" t="s">
        <v>83</v>
      </c>
    </row>
    <row r="25" spans="1:10" x14ac:dyDescent="0.35">
      <c r="A25" s="11" t="s">
        <v>62</v>
      </c>
      <c r="B25" s="4" t="s">
        <v>84</v>
      </c>
      <c r="C25" s="10">
        <f>$C$15</f>
        <v>2</v>
      </c>
      <c r="D25" s="2" t="s">
        <v>72</v>
      </c>
    </row>
    <row r="26" spans="1:10" x14ac:dyDescent="0.35">
      <c r="A26" s="11"/>
      <c r="C26" s="10"/>
    </row>
    <row r="27" spans="1:10" x14ac:dyDescent="0.35">
      <c r="A27" s="11" t="s">
        <v>140</v>
      </c>
      <c r="B27" s="4" t="s">
        <v>84</v>
      </c>
      <c r="C27" s="16">
        <f>$C$10*($C$8/$C$7+1)-$C$8</f>
        <v>-98000</v>
      </c>
      <c r="D27" s="2" t="s">
        <v>141</v>
      </c>
    </row>
    <row r="28" spans="1:10" x14ac:dyDescent="0.35">
      <c r="A28" s="11"/>
      <c r="C28" s="10"/>
      <c r="D28" s="2"/>
    </row>
    <row r="29" spans="1:10" x14ac:dyDescent="0.35">
      <c r="A29" s="11" t="s">
        <v>142</v>
      </c>
      <c r="B29" s="4" t="s">
        <v>84</v>
      </c>
      <c r="C29" s="16">
        <f>1/2*($C$10*($C$8/$C$7+1)+$C$8)</f>
        <v>51000</v>
      </c>
      <c r="D29" s="2" t="s">
        <v>143</v>
      </c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46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6" x14ac:dyDescent="0.35">
      <c r="A33" t="s">
        <v>53</v>
      </c>
      <c r="B33" s="9"/>
      <c r="E33" s="9"/>
    </row>
    <row r="34" spans="1:6" x14ac:dyDescent="0.35">
      <c r="A34" s="12"/>
      <c r="B34" s="1"/>
      <c r="D34" s="1"/>
      <c r="E34" s="11"/>
    </row>
    <row r="35" spans="1:6" x14ac:dyDescent="0.35">
      <c r="A35" s="11" t="s">
        <v>1</v>
      </c>
      <c r="B35" s="4" t="s">
        <v>3</v>
      </c>
      <c r="C35" s="25">
        <f>$C$8/$C$7+1</f>
        <v>2</v>
      </c>
      <c r="D35" t="s">
        <v>40</v>
      </c>
      <c r="F35" s="13" t="s">
        <v>10</v>
      </c>
    </row>
    <row r="36" spans="1:6" x14ac:dyDescent="0.35">
      <c r="A36" s="8"/>
      <c r="B36" s="4" t="s">
        <v>4</v>
      </c>
      <c r="C36" s="25">
        <f>$C$8/($C$7*1.01)+1</f>
        <v>1.9900990099009901</v>
      </c>
      <c r="D36" t="s">
        <v>63</v>
      </c>
      <c r="F36" s="13" t="s">
        <v>73</v>
      </c>
    </row>
    <row r="37" spans="1:6" x14ac:dyDescent="0.35">
      <c r="A37" s="8"/>
      <c r="B37" s="4" t="s">
        <v>0</v>
      </c>
      <c r="C37" s="25">
        <f>((C36-C35)/C35)/0.01</f>
        <v>-0.49504950495049549</v>
      </c>
      <c r="D37" s="2" t="s">
        <v>41</v>
      </c>
      <c r="F37" t="s">
        <v>11</v>
      </c>
    </row>
    <row r="39" spans="1:6" x14ac:dyDescent="0.35">
      <c r="A39" s="11" t="s">
        <v>2</v>
      </c>
      <c r="B39" s="4" t="s">
        <v>3</v>
      </c>
      <c r="C39" s="25">
        <f>$C$8/$C$7+1</f>
        <v>2</v>
      </c>
      <c r="D39" t="s">
        <v>40</v>
      </c>
    </row>
    <row r="40" spans="1:6" x14ac:dyDescent="0.35">
      <c r="A40" s="8"/>
      <c r="B40" s="4" t="s">
        <v>4</v>
      </c>
      <c r="C40" s="25">
        <f>$C$8*1.01/$C$7+1</f>
        <v>2.0099999999999998</v>
      </c>
      <c r="D40" t="s">
        <v>64</v>
      </c>
    </row>
    <row r="41" spans="1:6" x14ac:dyDescent="0.35">
      <c r="A41" s="8"/>
      <c r="B41" s="4" t="s">
        <v>0</v>
      </c>
      <c r="C41" s="25">
        <f>((C40-C39)/C39)/0.01</f>
        <v>0.49999999999998934</v>
      </c>
      <c r="D41" s="2" t="s">
        <v>41</v>
      </c>
    </row>
    <row r="44" spans="1:6" x14ac:dyDescent="0.35">
      <c r="A44" t="s">
        <v>43</v>
      </c>
      <c r="B44" s="9"/>
      <c r="D44" s="2"/>
    </row>
    <row r="45" spans="1:6" x14ac:dyDescent="0.35">
      <c r="A45" t="s">
        <v>33</v>
      </c>
      <c r="B45" s="9"/>
      <c r="D45" s="2"/>
    </row>
    <row r="46" spans="1:6" x14ac:dyDescent="0.35">
      <c r="A46" t="s">
        <v>32</v>
      </c>
      <c r="B46" s="9"/>
      <c r="D46" s="2"/>
    </row>
    <row r="47" spans="1:6" x14ac:dyDescent="0.35">
      <c r="A47" t="s">
        <v>65</v>
      </c>
      <c r="B47" s="9"/>
      <c r="D47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147F-9885-4D03-B87C-487F7CB062A6}">
  <sheetPr>
    <tabColor rgb="FFFFFF99"/>
  </sheetPr>
  <dimension ref="A1:J42"/>
  <sheetViews>
    <sheetView zoomScale="70" zoomScaleNormal="70" workbookViewId="0">
      <selection activeCell="E10" sqref="E10"/>
    </sheetView>
  </sheetViews>
  <sheetFormatPr defaultRowHeight="14.5" x14ac:dyDescent="0.35"/>
  <cols>
    <col min="1" max="1" width="17.08984375" customWidth="1"/>
    <col min="2" max="2" width="15.089843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107</v>
      </c>
      <c r="F1" s="1"/>
    </row>
    <row r="2" spans="1:8" ht="15.5" x14ac:dyDescent="0.35">
      <c r="A2" s="46" t="s">
        <v>101</v>
      </c>
      <c r="E2" s="3"/>
      <c r="F2" s="2" t="s">
        <v>18</v>
      </c>
    </row>
    <row r="3" spans="1:8" x14ac:dyDescent="0.35">
      <c r="E3" s="4"/>
      <c r="F3" s="2" t="s">
        <v>19</v>
      </c>
      <c r="H3" s="1"/>
    </row>
    <row r="4" spans="1:8" x14ac:dyDescent="0.35">
      <c r="F4" s="1"/>
      <c r="G4" s="1"/>
      <c r="H4" s="1"/>
    </row>
    <row r="5" spans="1:8" x14ac:dyDescent="0.35">
      <c r="A5" s="5" t="s">
        <v>108</v>
      </c>
      <c r="B5" s="5"/>
      <c r="C5" s="5"/>
      <c r="D5" s="5"/>
      <c r="E5" s="5"/>
    </row>
    <row r="7" spans="1:8" x14ac:dyDescent="0.35">
      <c r="A7" t="s">
        <v>110</v>
      </c>
      <c r="B7" s="3" t="s">
        <v>111</v>
      </c>
      <c r="C7" s="6">
        <v>5</v>
      </c>
    </row>
    <row r="8" spans="1:8" x14ac:dyDescent="0.35">
      <c r="A8" t="s">
        <v>112</v>
      </c>
      <c r="B8" s="3" t="s">
        <v>113</v>
      </c>
      <c r="C8" s="1">
        <v>12</v>
      </c>
    </row>
    <row r="9" spans="1:8" x14ac:dyDescent="0.35">
      <c r="B9" s="4" t="s">
        <v>155</v>
      </c>
      <c r="C9" s="16">
        <f>2^$C$8</f>
        <v>4096</v>
      </c>
      <c r="D9" t="s">
        <v>156</v>
      </c>
    </row>
    <row r="10" spans="1:8" x14ac:dyDescent="0.35">
      <c r="B10" s="4" t="s">
        <v>148</v>
      </c>
      <c r="C10" s="16">
        <f>2^$C$8-1</f>
        <v>4095</v>
      </c>
      <c r="D10" t="s">
        <v>114</v>
      </c>
    </row>
    <row r="11" spans="1:8" x14ac:dyDescent="0.35">
      <c r="A11" t="s">
        <v>127</v>
      </c>
      <c r="B11" s="4" t="s">
        <v>129</v>
      </c>
      <c r="C11" s="18">
        <f>$C$7/(2^$C$8)</f>
        <v>1.220703125E-3</v>
      </c>
      <c r="D11" t="s">
        <v>126</v>
      </c>
    </row>
    <row r="13" spans="1:8" x14ac:dyDescent="0.35">
      <c r="A13" t="s">
        <v>52</v>
      </c>
      <c r="B13" s="3" t="s">
        <v>60</v>
      </c>
      <c r="C13" s="1" t="s">
        <v>151</v>
      </c>
      <c r="D13" t="s">
        <v>135</v>
      </c>
    </row>
    <row r="14" spans="1:8" x14ac:dyDescent="0.35">
      <c r="A14" t="s">
        <v>42</v>
      </c>
      <c r="B14" s="3" t="s">
        <v>61</v>
      </c>
      <c r="C14" s="1" t="s">
        <v>152</v>
      </c>
      <c r="D14" t="s">
        <v>134</v>
      </c>
    </row>
    <row r="15" spans="1:8" x14ac:dyDescent="0.35">
      <c r="A15" t="s">
        <v>128</v>
      </c>
      <c r="B15" s="3" t="s">
        <v>154</v>
      </c>
      <c r="C15" s="18">
        <f>$C$7/(2^$C$8-1)</f>
        <v>1.221001221001221E-3</v>
      </c>
      <c r="D15" t="s">
        <v>153</v>
      </c>
    </row>
    <row r="17" spans="1:10" x14ac:dyDescent="0.35">
      <c r="A17" t="s">
        <v>149</v>
      </c>
      <c r="B17" s="3" t="s">
        <v>151</v>
      </c>
      <c r="C17" s="10">
        <v>2047.5</v>
      </c>
      <c r="D17" s="19"/>
    </row>
    <row r="18" spans="1:10" x14ac:dyDescent="0.35">
      <c r="A18" t="s">
        <v>150</v>
      </c>
      <c r="B18" s="4" t="s">
        <v>152</v>
      </c>
      <c r="C18" s="6">
        <f>C17*$C$15</f>
        <v>2.5</v>
      </c>
      <c r="D18" t="s">
        <v>157</v>
      </c>
    </row>
    <row r="21" spans="1:10" x14ac:dyDescent="0.35">
      <c r="A21" s="15" t="s">
        <v>45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t="s">
        <v>124</v>
      </c>
      <c r="B22" s="9"/>
      <c r="E22" s="9"/>
    </row>
    <row r="23" spans="1:10" x14ac:dyDescent="0.35">
      <c r="A23" s="7"/>
      <c r="B23" s="9"/>
      <c r="E23" s="9"/>
    </row>
    <row r="24" spans="1:10" x14ac:dyDescent="0.35">
      <c r="A24" s="32" t="s">
        <v>48</v>
      </c>
      <c r="B24" t="s">
        <v>83</v>
      </c>
    </row>
    <row r="25" spans="1:10" x14ac:dyDescent="0.35">
      <c r="A25" s="11" t="s">
        <v>158</v>
      </c>
      <c r="B25" s="4" t="s">
        <v>115</v>
      </c>
      <c r="C25" s="10">
        <v>1</v>
      </c>
      <c r="E25" s="2" t="s">
        <v>159</v>
      </c>
    </row>
    <row r="26" spans="1:10" x14ac:dyDescent="0.35">
      <c r="A26" s="11"/>
      <c r="C26" s="10"/>
      <c r="E26" s="2"/>
    </row>
    <row r="27" spans="1:10" x14ac:dyDescent="0.35">
      <c r="A27" s="11"/>
      <c r="C27" s="10"/>
      <c r="D27" s="2"/>
    </row>
    <row r="28" spans="1:10" x14ac:dyDescent="0.35">
      <c r="A28" s="11"/>
      <c r="C28" s="10"/>
      <c r="D28" s="2"/>
    </row>
    <row r="29" spans="1:10" x14ac:dyDescent="0.35">
      <c r="A29" s="11"/>
      <c r="C29" s="10"/>
      <c r="D29" s="2"/>
    </row>
    <row r="30" spans="1:10" x14ac:dyDescent="0.35">
      <c r="A30" s="8"/>
      <c r="D30" s="2"/>
    </row>
    <row r="31" spans="1:10" x14ac:dyDescent="0.35">
      <c r="A31" s="15" t="s">
        <v>46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35">
      <c r="A32" t="s">
        <v>53</v>
      </c>
      <c r="B32" s="9"/>
      <c r="E32" s="9"/>
    </row>
    <row r="33" spans="1:7" x14ac:dyDescent="0.35">
      <c r="B33" s="9"/>
      <c r="E33" s="9"/>
    </row>
    <row r="34" spans="1:7" x14ac:dyDescent="0.35">
      <c r="A34" t="s">
        <v>43</v>
      </c>
      <c r="B34" s="9"/>
      <c r="D34" s="2"/>
      <c r="G34" s="13"/>
    </row>
    <row r="35" spans="1:7" x14ac:dyDescent="0.35">
      <c r="A35" t="s">
        <v>33</v>
      </c>
      <c r="B35" s="9"/>
      <c r="D35" s="2"/>
    </row>
    <row r="36" spans="1:7" x14ac:dyDescent="0.35">
      <c r="A36" t="s">
        <v>32</v>
      </c>
      <c r="B36" s="9"/>
      <c r="D36" s="2"/>
    </row>
    <row r="37" spans="1:7" x14ac:dyDescent="0.35">
      <c r="A37" s="12"/>
      <c r="B37" s="1"/>
      <c r="D37" s="1"/>
      <c r="E37" s="11"/>
    </row>
    <row r="38" spans="1:7" x14ac:dyDescent="0.35">
      <c r="A38" s="11" t="s">
        <v>116</v>
      </c>
      <c r="B38" s="4" t="s">
        <v>0</v>
      </c>
      <c r="C38" s="10">
        <v>1</v>
      </c>
      <c r="D38" t="s">
        <v>160</v>
      </c>
    </row>
    <row r="40" spans="1:7" x14ac:dyDescent="0.35">
      <c r="A40" s="11" t="s">
        <v>117</v>
      </c>
      <c r="B40" s="4" t="s">
        <v>3</v>
      </c>
      <c r="C40" s="18">
        <f>$C$7/(2^$C$8-1)</f>
        <v>1.221001221001221E-3</v>
      </c>
      <c r="D40" t="s">
        <v>161</v>
      </c>
      <c r="G40" s="13" t="s">
        <v>10</v>
      </c>
    </row>
    <row r="41" spans="1:7" x14ac:dyDescent="0.35">
      <c r="A41" s="8"/>
      <c r="B41" s="4" t="s">
        <v>4</v>
      </c>
      <c r="C41" s="18">
        <f>$C$7*1.01/(2^$C$8-1)</f>
        <v>1.2332112332112332E-3</v>
      </c>
      <c r="D41" t="s">
        <v>122</v>
      </c>
      <c r="G41" s="13" t="s">
        <v>123</v>
      </c>
    </row>
    <row r="42" spans="1:7" x14ac:dyDescent="0.35">
      <c r="A42" s="8"/>
      <c r="B42" s="4" t="s">
        <v>0</v>
      </c>
      <c r="C42" s="10">
        <f>((C41-C40)/C40)/0.01</f>
        <v>1</v>
      </c>
      <c r="D42" s="2" t="s">
        <v>41</v>
      </c>
      <c r="G42" t="s">
        <v>11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2"/>
  <sheetViews>
    <sheetView zoomScale="70" zoomScaleNormal="70" workbookViewId="0">
      <selection activeCell="F29" sqref="F29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0.6328125" customWidth="1"/>
    <col min="7" max="7" width="14.36328125" customWidth="1"/>
    <col min="8" max="8" width="16.81640625" customWidth="1"/>
    <col min="9" max="9" width="17.54296875" customWidth="1"/>
    <col min="10" max="10" width="17.81640625" customWidth="1"/>
    <col min="11" max="11" width="13.81640625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2" t="s">
        <v>174</v>
      </c>
      <c r="F1" s="1"/>
      <c r="G1" s="1"/>
      <c r="H1" s="1"/>
    </row>
    <row r="2" spans="1:13" ht="18.5" x14ac:dyDescent="0.45">
      <c r="A2" s="43"/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102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98</v>
      </c>
      <c r="C11" t="s">
        <v>66</v>
      </c>
      <c r="D11" s="10"/>
      <c r="E11" s="10"/>
      <c r="F11" s="1" t="s">
        <v>97</v>
      </c>
    </row>
    <row r="12" spans="1:13" x14ac:dyDescent="0.35">
      <c r="A12" s="32" t="s">
        <v>21</v>
      </c>
      <c r="B12" s="40" t="s">
        <v>68</v>
      </c>
      <c r="C12" s="4" t="s">
        <v>23</v>
      </c>
      <c r="D12" s="4" t="s">
        <v>34</v>
      </c>
      <c r="E12" s="41" t="s">
        <v>24</v>
      </c>
      <c r="F12" s="4" t="s">
        <v>27</v>
      </c>
      <c r="G12" s="41" t="s">
        <v>29</v>
      </c>
    </row>
    <row r="13" spans="1:13" x14ac:dyDescent="0.35">
      <c r="A13" s="2" t="s">
        <v>99</v>
      </c>
      <c r="B13" s="9">
        <v>0.05</v>
      </c>
      <c r="C13" s="14">
        <f>M29</f>
        <v>3.235E-3</v>
      </c>
      <c r="D13" s="14">
        <f>M41</f>
        <v>1.4601796875E-2</v>
      </c>
      <c r="E13" s="20">
        <f>C13+D13</f>
        <v>1.7836796874999998E-2</v>
      </c>
      <c r="F13" s="16">
        <f>(B13-E13)/B13*100</f>
        <v>64.326406250000005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47" t="s">
        <v>14</v>
      </c>
      <c r="B21" s="32"/>
      <c r="C21" s="35"/>
      <c r="D21" s="36" t="s">
        <v>48</v>
      </c>
      <c r="E21" s="36" t="s">
        <v>49</v>
      </c>
      <c r="F21" s="36"/>
      <c r="G21" s="36" t="s">
        <v>88</v>
      </c>
      <c r="H21" s="36" t="s">
        <v>47</v>
      </c>
      <c r="I21" s="39" t="s">
        <v>90</v>
      </c>
      <c r="J21" s="36" t="s">
        <v>172</v>
      </c>
      <c r="K21" s="39" t="s">
        <v>170</v>
      </c>
      <c r="M21" s="31" t="s">
        <v>105</v>
      </c>
      <c r="N21" s="31" t="s">
        <v>104</v>
      </c>
    </row>
    <row r="22" spans="1:14" ht="29" x14ac:dyDescent="0.35">
      <c r="A22" s="22" t="s">
        <v>39</v>
      </c>
      <c r="B22" s="22" t="s">
        <v>55</v>
      </c>
      <c r="C22" s="22" t="s">
        <v>75</v>
      </c>
      <c r="D22" s="30" t="s">
        <v>20</v>
      </c>
      <c r="E22" s="30" t="s">
        <v>20</v>
      </c>
      <c r="F22" s="22" t="s">
        <v>13</v>
      </c>
      <c r="G22" s="30" t="s">
        <v>89</v>
      </c>
      <c r="H22" s="23" t="s">
        <v>0</v>
      </c>
      <c r="I22" s="45" t="s">
        <v>92</v>
      </c>
      <c r="J22" s="24" t="s">
        <v>173</v>
      </c>
      <c r="K22" s="45" t="s">
        <v>171</v>
      </c>
      <c r="M22" s="24" t="s">
        <v>57</v>
      </c>
      <c r="N22" s="24" t="s">
        <v>58</v>
      </c>
    </row>
    <row r="23" spans="1:14" x14ac:dyDescent="0.35">
      <c r="A23" s="1" t="s">
        <v>109</v>
      </c>
      <c r="B23" s="1" t="s">
        <v>164</v>
      </c>
      <c r="C23" s="1" t="s">
        <v>169</v>
      </c>
      <c r="D23" s="1" t="s">
        <v>81</v>
      </c>
      <c r="E23" s="18">
        <f>2*'DAC Calc'!$C$11</f>
        <v>2.44140625E-3</v>
      </c>
      <c r="F23" s="21" t="s">
        <v>5</v>
      </c>
      <c r="G23" s="14" t="s">
        <v>152</v>
      </c>
      <c r="H23" s="10">
        <f>'DAC Calc'!$C$25</f>
        <v>1</v>
      </c>
      <c r="I23" s="14">
        <f>E23*H23</f>
        <v>2.44140625E-3</v>
      </c>
      <c r="J23" s="10">
        <f>'Amp1 Calc'!$C$15</f>
        <v>2</v>
      </c>
      <c r="K23" s="28">
        <f>I23*J23</f>
        <v>4.8828125E-3</v>
      </c>
      <c r="L23" s="2" t="s">
        <v>5</v>
      </c>
      <c r="M23" s="28">
        <f>ABS(K23)</f>
        <v>4.8828125E-3</v>
      </c>
      <c r="N23" s="17">
        <f>K23^2</f>
        <v>2.384185791015625E-5</v>
      </c>
    </row>
    <row r="24" spans="1:14" x14ac:dyDescent="0.35">
      <c r="A24" s="1" t="s">
        <v>176</v>
      </c>
      <c r="B24" s="1" t="s">
        <v>178</v>
      </c>
      <c r="C24" s="1" t="s">
        <v>103</v>
      </c>
      <c r="D24" s="1" t="s">
        <v>81</v>
      </c>
      <c r="E24" s="1">
        <v>1E-3</v>
      </c>
      <c r="F24" s="21" t="s">
        <v>5</v>
      </c>
      <c r="G24" s="14" t="s">
        <v>162</v>
      </c>
      <c r="H24" s="10">
        <f>'Amp1 Calc'!$C$25</f>
        <v>2</v>
      </c>
      <c r="I24" s="28">
        <f>E24*H24</f>
        <v>2E-3</v>
      </c>
      <c r="J24" s="10">
        <v>1</v>
      </c>
      <c r="K24" s="28">
        <f t="shared" ref="K24:K26" si="0">I24*J24</f>
        <v>2E-3</v>
      </c>
      <c r="L24" s="2" t="s">
        <v>5</v>
      </c>
      <c r="M24" s="28">
        <f>ABS(K24)</f>
        <v>2E-3</v>
      </c>
      <c r="N24" s="17">
        <f>K24^2</f>
        <v>3.9999999999999998E-6</v>
      </c>
    </row>
    <row r="25" spans="1:14" x14ac:dyDescent="0.35">
      <c r="A25" s="1" t="s">
        <v>38</v>
      </c>
      <c r="B25" s="1" t="s">
        <v>177</v>
      </c>
      <c r="C25" s="1" t="s">
        <v>103</v>
      </c>
      <c r="D25" s="1" t="s">
        <v>144</v>
      </c>
      <c r="E25" s="17">
        <v>1E-8</v>
      </c>
      <c r="F25" s="1" t="s">
        <v>12</v>
      </c>
      <c r="G25" s="14" t="s">
        <v>162</v>
      </c>
      <c r="H25" s="16">
        <f>'Amp1 Calc'!$C$27</f>
        <v>-98000</v>
      </c>
      <c r="I25" s="28">
        <f>E25*H25</f>
        <v>-9.7999999999999997E-4</v>
      </c>
      <c r="J25" s="10">
        <v>1</v>
      </c>
      <c r="K25" s="28">
        <f t="shared" si="0"/>
        <v>-9.7999999999999997E-4</v>
      </c>
      <c r="L25" s="2" t="s">
        <v>5</v>
      </c>
      <c r="M25" s="28">
        <f>ABS(K25)</f>
        <v>9.7999999999999997E-4</v>
      </c>
      <c r="N25" s="17">
        <f>K25^2</f>
        <v>9.6039999999999994E-7</v>
      </c>
    </row>
    <row r="26" spans="1:14" x14ac:dyDescent="0.35">
      <c r="A26" s="1" t="s">
        <v>38</v>
      </c>
      <c r="B26" s="1" t="s">
        <v>179</v>
      </c>
      <c r="C26" s="1" t="s">
        <v>103</v>
      </c>
      <c r="D26" s="1" t="s">
        <v>145</v>
      </c>
      <c r="E26" s="17">
        <v>5.0000000000000001E-9</v>
      </c>
      <c r="F26" s="1" t="s">
        <v>12</v>
      </c>
      <c r="G26" s="14" t="s">
        <v>162</v>
      </c>
      <c r="H26" s="16">
        <f>'Amp1 Calc'!$C$29</f>
        <v>51000</v>
      </c>
      <c r="I26" s="28">
        <f>E26*H26</f>
        <v>2.5500000000000002E-4</v>
      </c>
      <c r="J26" s="10">
        <v>1</v>
      </c>
      <c r="K26" s="28">
        <f t="shared" si="0"/>
        <v>2.5500000000000002E-4</v>
      </c>
      <c r="L26" s="2" t="s">
        <v>5</v>
      </c>
      <c r="M26" s="28">
        <f>ABS(K26)</f>
        <v>2.5500000000000002E-4</v>
      </c>
      <c r="N26" s="17">
        <f>K26^2</f>
        <v>6.5025000000000015E-8</v>
      </c>
    </row>
    <row r="27" spans="1:14" x14ac:dyDescent="0.35">
      <c r="B27" s="1" t="s">
        <v>25</v>
      </c>
      <c r="E27" s="17"/>
      <c r="F27" s="1"/>
      <c r="G27" s="14"/>
      <c r="H27" s="16"/>
      <c r="I27" s="18"/>
      <c r="J27" s="10"/>
      <c r="K27" s="28"/>
    </row>
    <row r="28" spans="1:14" x14ac:dyDescent="0.35">
      <c r="G28" s="1"/>
      <c r="I28" s="1"/>
      <c r="J28" s="10"/>
      <c r="K28" s="20"/>
      <c r="L28" s="2"/>
      <c r="M28" s="39" t="s">
        <v>70</v>
      </c>
      <c r="N28" s="33" t="s">
        <v>71</v>
      </c>
    </row>
    <row r="29" spans="1:14" x14ac:dyDescent="0.35">
      <c r="G29" s="1"/>
      <c r="I29" s="1"/>
      <c r="J29" s="1"/>
      <c r="K29" s="20"/>
      <c r="L29" s="2"/>
      <c r="M29" s="28">
        <f>SUM(M24:M27)</f>
        <v>3.235E-3</v>
      </c>
      <c r="N29" s="28">
        <f>SQRT(SUM(N24:N27))</f>
        <v>2.2417459713357357E-3</v>
      </c>
    </row>
    <row r="30" spans="1:14" x14ac:dyDescent="0.35">
      <c r="G30" s="1"/>
      <c r="I30" s="1"/>
      <c r="J30" s="1"/>
      <c r="K30" s="20"/>
      <c r="L30" s="26"/>
    </row>
    <row r="31" spans="1:14" ht="29" x14ac:dyDescent="0.35">
      <c r="A31" s="9" t="s">
        <v>59</v>
      </c>
      <c r="B31" s="7"/>
      <c r="C31" s="7"/>
      <c r="D31" s="36" t="s">
        <v>48</v>
      </c>
      <c r="E31" s="36" t="s">
        <v>49</v>
      </c>
      <c r="G31" s="36" t="s">
        <v>88</v>
      </c>
      <c r="H31" s="36" t="s">
        <v>47</v>
      </c>
      <c r="I31" s="36" t="s">
        <v>90</v>
      </c>
      <c r="J31" s="36" t="s">
        <v>172</v>
      </c>
      <c r="K31" s="39" t="s">
        <v>170</v>
      </c>
      <c r="L31" s="26"/>
      <c r="M31" s="1"/>
      <c r="N31" s="31"/>
    </row>
    <row r="32" spans="1:14" ht="29" x14ac:dyDescent="0.35">
      <c r="A32" s="22" t="s">
        <v>37</v>
      </c>
      <c r="B32" s="22" t="s">
        <v>55</v>
      </c>
      <c r="C32" s="22" t="s">
        <v>75</v>
      </c>
      <c r="D32" s="30" t="s">
        <v>20</v>
      </c>
      <c r="E32" s="30" t="s">
        <v>20</v>
      </c>
      <c r="F32" s="22" t="s">
        <v>13</v>
      </c>
      <c r="G32" s="30" t="s">
        <v>89</v>
      </c>
      <c r="H32" s="23" t="s">
        <v>0</v>
      </c>
      <c r="I32" s="45" t="s">
        <v>91</v>
      </c>
      <c r="J32" s="24" t="s">
        <v>173</v>
      </c>
      <c r="K32" s="45" t="s">
        <v>171</v>
      </c>
      <c r="L32" s="34"/>
      <c r="M32" s="24" t="s">
        <v>57</v>
      </c>
      <c r="N32" s="24" t="s">
        <v>58</v>
      </c>
    </row>
    <row r="33" spans="1:14" x14ac:dyDescent="0.35">
      <c r="A33" s="1" t="s">
        <v>163</v>
      </c>
      <c r="B33" s="1" t="s">
        <v>165</v>
      </c>
      <c r="C33" s="1" t="s">
        <v>169</v>
      </c>
      <c r="D33" s="1" t="s">
        <v>82</v>
      </c>
      <c r="E33" s="17">
        <f>0.04*'DAC Calc'!$C$11</f>
        <v>4.8828125000000003E-5</v>
      </c>
      <c r="F33" s="21" t="s">
        <v>16</v>
      </c>
      <c r="G33" s="14" t="s">
        <v>121</v>
      </c>
      <c r="H33" s="10">
        <f>'DAC Calc'!$C$25</f>
        <v>1</v>
      </c>
      <c r="I33" s="28">
        <f>E33*$C$9*H33</f>
        <v>1.46484375E-3</v>
      </c>
      <c r="J33" s="10">
        <f>'Amp1 Calc'!$C$15</f>
        <v>2</v>
      </c>
      <c r="K33" s="28">
        <f>I33*J33</f>
        <v>2.9296875E-3</v>
      </c>
      <c r="L33" s="2" t="s">
        <v>5</v>
      </c>
      <c r="M33" s="28">
        <f t="shared" ref="M33:M35" si="1">ABS(K33)</f>
        <v>2.9296875E-3</v>
      </c>
      <c r="N33" s="17">
        <f t="shared" ref="N33:N35" si="2">K33^2</f>
        <v>8.58306884765625E-6</v>
      </c>
    </row>
    <row r="34" spans="1:14" x14ac:dyDescent="0.35">
      <c r="A34" s="1" t="s">
        <v>38</v>
      </c>
      <c r="B34" s="1" t="s">
        <v>166</v>
      </c>
      <c r="C34" s="1" t="s">
        <v>169</v>
      </c>
      <c r="D34" s="1" t="s">
        <v>131</v>
      </c>
      <c r="E34" s="18">
        <f>0.5*'DAC Calc'!$C$11</f>
        <v>6.103515625E-4</v>
      </c>
      <c r="F34" s="21" t="s">
        <v>5</v>
      </c>
      <c r="G34" s="14" t="s">
        <v>121</v>
      </c>
      <c r="H34" s="10">
        <f>'DAC Calc'!$C$25</f>
        <v>1</v>
      </c>
      <c r="I34" s="28">
        <f>E34*H34</f>
        <v>6.103515625E-4</v>
      </c>
      <c r="J34" s="10">
        <f>'Amp1 Calc'!$C$15</f>
        <v>2</v>
      </c>
      <c r="K34" s="28">
        <f t="shared" ref="K34:K38" si="3">I34*J34</f>
        <v>1.220703125E-3</v>
      </c>
      <c r="L34" s="2" t="s">
        <v>5</v>
      </c>
      <c r="M34" s="28">
        <f t="shared" si="1"/>
        <v>1.220703125E-3</v>
      </c>
      <c r="N34" s="17">
        <f t="shared" si="2"/>
        <v>1.4901161193847656E-6</v>
      </c>
    </row>
    <row r="35" spans="1:14" x14ac:dyDescent="0.35">
      <c r="A35" s="1" t="s">
        <v>38</v>
      </c>
      <c r="B35" s="1" t="s">
        <v>167</v>
      </c>
      <c r="C35" s="1" t="s">
        <v>169</v>
      </c>
      <c r="D35" s="1" t="s">
        <v>132</v>
      </c>
      <c r="E35" s="18">
        <f>1*'DAC Calc'!$C$11</f>
        <v>1.220703125E-3</v>
      </c>
      <c r="F35" s="21" t="s">
        <v>5</v>
      </c>
      <c r="G35" s="14" t="s">
        <v>121</v>
      </c>
      <c r="H35" s="10">
        <f>'DAC Calc'!$C$25</f>
        <v>1</v>
      </c>
      <c r="I35" s="28">
        <f>E35*H35</f>
        <v>1.220703125E-3</v>
      </c>
      <c r="J35" s="10">
        <f>'Amp1 Calc'!$C$15</f>
        <v>2</v>
      </c>
      <c r="K35" s="28">
        <f t="shared" si="3"/>
        <v>2.44140625E-3</v>
      </c>
      <c r="L35" s="2" t="s">
        <v>5</v>
      </c>
      <c r="M35" s="28">
        <f t="shared" si="1"/>
        <v>2.44140625E-3</v>
      </c>
      <c r="N35" s="17">
        <f t="shared" si="2"/>
        <v>5.9604644775390625E-6</v>
      </c>
    </row>
    <row r="36" spans="1:14" x14ac:dyDescent="0.35">
      <c r="A36" s="1" t="s">
        <v>176</v>
      </c>
      <c r="B36" s="1" t="s">
        <v>180</v>
      </c>
      <c r="C36" s="1" t="s">
        <v>103</v>
      </c>
      <c r="D36" s="1" t="s">
        <v>82</v>
      </c>
      <c r="E36" s="27">
        <v>1.0000000000000001E-5</v>
      </c>
      <c r="F36" s="21" t="s">
        <v>16</v>
      </c>
      <c r="G36" s="14" t="s">
        <v>162</v>
      </c>
      <c r="H36" s="10">
        <f>'Amp1 Calc'!$C$25</f>
        <v>2</v>
      </c>
      <c r="I36" s="28">
        <f>E36*$C$9*H36</f>
        <v>6.0000000000000006E-4</v>
      </c>
      <c r="J36" s="10">
        <v>1</v>
      </c>
      <c r="K36" s="28">
        <f t="shared" si="3"/>
        <v>6.0000000000000006E-4</v>
      </c>
      <c r="L36" s="2" t="s">
        <v>5</v>
      </c>
      <c r="M36" s="28">
        <f>ABS(K36)</f>
        <v>6.0000000000000006E-4</v>
      </c>
      <c r="N36" s="17">
        <f>K36^2</f>
        <v>3.6000000000000005E-7</v>
      </c>
    </row>
    <row r="37" spans="1:14" x14ac:dyDescent="0.35">
      <c r="A37" s="1" t="s">
        <v>38</v>
      </c>
      <c r="B37" s="1" t="s">
        <v>181</v>
      </c>
      <c r="C37" s="1" t="s">
        <v>103</v>
      </c>
      <c r="D37" s="1" t="s">
        <v>146</v>
      </c>
      <c r="E37" s="17">
        <v>2.0000000000000001E-9</v>
      </c>
      <c r="F37" s="1" t="s">
        <v>17</v>
      </c>
      <c r="G37" s="14" t="s">
        <v>162</v>
      </c>
      <c r="H37" s="16">
        <f>'Amp1 Calc'!$C$27</f>
        <v>-98000</v>
      </c>
      <c r="I37" s="28">
        <f>E37*$C$9*H37</f>
        <v>-5.8800000000000007E-3</v>
      </c>
      <c r="J37" s="10">
        <v>1</v>
      </c>
      <c r="K37" s="28">
        <f t="shared" si="3"/>
        <v>-5.8800000000000007E-3</v>
      </c>
      <c r="L37" s="2" t="s">
        <v>5</v>
      </c>
      <c r="M37" s="28">
        <f>ABS(K37)</f>
        <v>5.8800000000000007E-3</v>
      </c>
      <c r="N37" s="17">
        <f>K37^2</f>
        <v>3.4574400000000006E-5</v>
      </c>
    </row>
    <row r="38" spans="1:14" x14ac:dyDescent="0.35">
      <c r="A38" s="1" t="s">
        <v>38</v>
      </c>
      <c r="B38" s="1" t="s">
        <v>182</v>
      </c>
      <c r="C38" s="1" t="s">
        <v>103</v>
      </c>
      <c r="D38" s="1" t="s">
        <v>147</v>
      </c>
      <c r="E38" s="17">
        <v>1.0000000000000001E-9</v>
      </c>
      <c r="F38" s="1" t="s">
        <v>17</v>
      </c>
      <c r="G38" s="14" t="s">
        <v>162</v>
      </c>
      <c r="H38" s="16">
        <f>'Amp1 Calc'!$C$29</f>
        <v>51000</v>
      </c>
      <c r="I38" s="28">
        <f>E38*$C$9*H38</f>
        <v>1.5300000000000001E-3</v>
      </c>
      <c r="J38" s="10">
        <v>1</v>
      </c>
      <c r="K38" s="28">
        <f t="shared" si="3"/>
        <v>1.5300000000000001E-3</v>
      </c>
      <c r="L38" s="2" t="s">
        <v>5</v>
      </c>
      <c r="M38" s="28">
        <f>ABS(K38)</f>
        <v>1.5300000000000001E-3</v>
      </c>
      <c r="N38" s="17">
        <f>K38^2</f>
        <v>2.3409000000000003E-6</v>
      </c>
    </row>
    <row r="39" spans="1:14" x14ac:dyDescent="0.35">
      <c r="B39" s="1" t="s">
        <v>25</v>
      </c>
      <c r="C39" s="1"/>
    </row>
    <row r="40" spans="1:14" x14ac:dyDescent="0.35">
      <c r="C40" s="1"/>
      <c r="G40" s="1"/>
      <c r="H40" s="1"/>
      <c r="I40" s="1"/>
      <c r="J40" s="29"/>
      <c r="K40" s="2"/>
      <c r="M40" s="39" t="s">
        <v>70</v>
      </c>
      <c r="N40" s="33" t="s">
        <v>71</v>
      </c>
    </row>
    <row r="41" spans="1:14" x14ac:dyDescent="0.35">
      <c r="G41" s="1"/>
      <c r="H41" s="1"/>
      <c r="I41" s="1"/>
      <c r="J41" s="29"/>
      <c r="K41" s="2"/>
      <c r="M41" s="28">
        <f>SUM(M33:M39)</f>
        <v>1.4601796875E-2</v>
      </c>
      <c r="N41" s="28">
        <f>SQRT(SUM(N33:N39))</f>
        <v>7.3012977918025012E-3</v>
      </c>
    </row>
    <row r="42" spans="1:14" x14ac:dyDescent="0.35">
      <c r="G42" s="1"/>
      <c r="H42" s="1"/>
      <c r="I42" s="1"/>
      <c r="J42" s="29"/>
      <c r="K42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8"/>
  <sheetViews>
    <sheetView zoomScale="70" zoomScaleNormal="70" workbookViewId="0">
      <selection activeCell="E15" sqref="E15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2" t="s">
        <v>175</v>
      </c>
      <c r="F1" s="1"/>
      <c r="G1" s="1"/>
      <c r="H1" s="1"/>
    </row>
    <row r="2" spans="1:13" x14ac:dyDescent="0.35"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102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98</v>
      </c>
      <c r="C11" t="s">
        <v>28</v>
      </c>
      <c r="D11" s="10"/>
      <c r="E11" s="10"/>
      <c r="F11" s="1" t="s">
        <v>97</v>
      </c>
    </row>
    <row r="12" spans="1:13" x14ac:dyDescent="0.35">
      <c r="A12" s="7" t="s">
        <v>22</v>
      </c>
      <c r="B12" s="3" t="s">
        <v>69</v>
      </c>
      <c r="C12" s="4" t="s">
        <v>23</v>
      </c>
      <c r="D12" s="4" t="s">
        <v>34</v>
      </c>
      <c r="E12" s="41" t="s">
        <v>24</v>
      </c>
      <c r="F12" s="4" t="s">
        <v>27</v>
      </c>
      <c r="G12" s="44" t="s">
        <v>29</v>
      </c>
    </row>
    <row r="13" spans="1:13" x14ac:dyDescent="0.35">
      <c r="B13" s="10">
        <v>1</v>
      </c>
      <c r="C13" s="25">
        <f>M29</f>
        <v>0.64833307549504848</v>
      </c>
      <c r="D13" s="25">
        <f>M38</f>
        <v>0.50710860148514547</v>
      </c>
      <c r="E13" s="25">
        <f>C13+D13</f>
        <v>1.1554416769801938</v>
      </c>
      <c r="F13" s="16">
        <f>(B13-E13)/B13*100</f>
        <v>-15.544167698019384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96</v>
      </c>
    </row>
    <row r="21" spans="1:15" ht="29" x14ac:dyDescent="0.35">
      <c r="A21" s="9" t="s">
        <v>14</v>
      </c>
      <c r="B21" s="7"/>
      <c r="C21" s="7"/>
      <c r="D21" s="36" t="s">
        <v>48</v>
      </c>
      <c r="E21" s="36" t="s">
        <v>49</v>
      </c>
      <c r="G21" s="36" t="s">
        <v>88</v>
      </c>
      <c r="H21" s="36" t="s">
        <v>35</v>
      </c>
      <c r="I21" s="36" t="s">
        <v>95</v>
      </c>
      <c r="M21" s="31" t="s">
        <v>105</v>
      </c>
      <c r="N21" s="31" t="s">
        <v>104</v>
      </c>
    </row>
    <row r="22" spans="1:15" ht="29" x14ac:dyDescent="0.35">
      <c r="A22" s="22" t="s">
        <v>37</v>
      </c>
      <c r="B22" s="22" t="s">
        <v>55</v>
      </c>
      <c r="C22" s="22" t="s">
        <v>75</v>
      </c>
      <c r="D22" s="30" t="s">
        <v>20</v>
      </c>
      <c r="E22" s="30" t="s">
        <v>20</v>
      </c>
      <c r="F22" s="22" t="s">
        <v>13</v>
      </c>
      <c r="G22" s="30" t="s">
        <v>89</v>
      </c>
      <c r="H22" s="23" t="s">
        <v>0</v>
      </c>
      <c r="I22" s="45" t="s">
        <v>94</v>
      </c>
      <c r="J22" s="37"/>
      <c r="K22" s="34"/>
      <c r="L22" s="34"/>
      <c r="M22" s="24" t="s">
        <v>50</v>
      </c>
      <c r="N22" s="24" t="s">
        <v>51</v>
      </c>
    </row>
    <row r="23" spans="1:15" x14ac:dyDescent="0.35">
      <c r="A23" s="1" t="s">
        <v>109</v>
      </c>
      <c r="B23" s="1" t="s">
        <v>118</v>
      </c>
      <c r="C23" s="1" t="s">
        <v>169</v>
      </c>
      <c r="D23" s="1" t="s">
        <v>138</v>
      </c>
      <c r="E23" s="25">
        <f>2/2^'DAC Calc'!$C$8*100</f>
        <v>4.8828125E-2</v>
      </c>
      <c r="F23" s="21" t="s">
        <v>9</v>
      </c>
      <c r="G23" s="14" t="s">
        <v>152</v>
      </c>
      <c r="H23" s="10">
        <f>'DAC Calc'!$C$38</f>
        <v>1</v>
      </c>
      <c r="I23" s="25">
        <f>E23*H23</f>
        <v>4.8828125E-2</v>
      </c>
      <c r="J23" s="14"/>
      <c r="L23" s="2"/>
      <c r="M23" s="6">
        <f>ABS(I23)</f>
        <v>4.8828125E-2</v>
      </c>
      <c r="N23" s="17">
        <f>I23^2</f>
        <v>2.384185791015625E-3</v>
      </c>
      <c r="O23" s="2" t="s">
        <v>9</v>
      </c>
    </row>
    <row r="24" spans="1:15" x14ac:dyDescent="0.35">
      <c r="A24" s="1" t="s">
        <v>38</v>
      </c>
      <c r="B24" s="1" t="s">
        <v>133</v>
      </c>
      <c r="C24" s="1" t="s">
        <v>168</v>
      </c>
      <c r="D24" s="1" t="s">
        <v>139</v>
      </c>
      <c r="E24" s="1">
        <v>0.5</v>
      </c>
      <c r="F24" s="21" t="s">
        <v>9</v>
      </c>
      <c r="G24" s="14" t="s">
        <v>152</v>
      </c>
      <c r="H24" s="10">
        <f>'DAC Calc'!$C$42</f>
        <v>1</v>
      </c>
      <c r="I24" s="25">
        <f>E24*H24</f>
        <v>0.5</v>
      </c>
      <c r="J24" s="14"/>
      <c r="L24" s="2"/>
      <c r="M24" s="6">
        <f>ABS(I24)</f>
        <v>0.5</v>
      </c>
      <c r="N24" s="17">
        <f>I24^2</f>
        <v>0.25</v>
      </c>
      <c r="O24" s="2" t="s">
        <v>9</v>
      </c>
    </row>
    <row r="25" spans="1:15" x14ac:dyDescent="0.35">
      <c r="A25" s="1" t="s">
        <v>36</v>
      </c>
      <c r="B25" s="1" t="s">
        <v>31</v>
      </c>
      <c r="C25" s="1" t="s">
        <v>76</v>
      </c>
      <c r="D25" s="1" t="s">
        <v>77</v>
      </c>
      <c r="E25" s="1">
        <v>0.1</v>
      </c>
      <c r="F25" s="21" t="s">
        <v>9</v>
      </c>
      <c r="G25" s="14" t="s">
        <v>162</v>
      </c>
      <c r="H25" s="10">
        <f>'Amp1 Calc'!$C$41</f>
        <v>0.49999999999998934</v>
      </c>
      <c r="I25" s="25">
        <f>E25*H25</f>
        <v>4.9999999999998934E-2</v>
      </c>
      <c r="J25" s="14"/>
      <c r="L25" s="2"/>
      <c r="M25" s="6">
        <f>ABS(I25)</f>
        <v>4.9999999999998934E-2</v>
      </c>
      <c r="N25" s="17">
        <f>I25^2</f>
        <v>2.4999999999998934E-3</v>
      </c>
      <c r="O25" s="2" t="s">
        <v>9</v>
      </c>
    </row>
    <row r="26" spans="1:15" x14ac:dyDescent="0.35">
      <c r="A26" s="1" t="s">
        <v>38</v>
      </c>
      <c r="B26" s="1" t="s">
        <v>30</v>
      </c>
      <c r="C26" s="1" t="s">
        <v>76</v>
      </c>
      <c r="D26" s="1" t="s">
        <v>77</v>
      </c>
      <c r="E26" s="1">
        <v>0.1</v>
      </c>
      <c r="F26" s="21" t="s">
        <v>9</v>
      </c>
      <c r="G26" s="14" t="s">
        <v>162</v>
      </c>
      <c r="H26" s="10">
        <f>'Amp1 Calc'!$C$37</f>
        <v>-0.49504950495049549</v>
      </c>
      <c r="I26" s="25">
        <f>E26*H26</f>
        <v>-4.9504950495049549E-2</v>
      </c>
      <c r="J26" s="14"/>
      <c r="L26" s="2"/>
      <c r="M26" s="6">
        <f>ABS(I26)</f>
        <v>4.9504950495049549E-2</v>
      </c>
      <c r="N26" s="17">
        <f>I26^2</f>
        <v>2.4507401235173065E-3</v>
      </c>
      <c r="O26" s="2" t="s">
        <v>9</v>
      </c>
    </row>
    <row r="27" spans="1:15" x14ac:dyDescent="0.35">
      <c r="B27" s="1" t="s">
        <v>25</v>
      </c>
      <c r="G27" s="1"/>
      <c r="J27" s="1"/>
    </row>
    <row r="28" spans="1:15" x14ac:dyDescent="0.35">
      <c r="M28" s="39" t="s">
        <v>70</v>
      </c>
      <c r="N28" s="33" t="s">
        <v>71</v>
      </c>
    </row>
    <row r="29" spans="1:15" x14ac:dyDescent="0.35">
      <c r="M29" s="6">
        <f>SUM(M23:M27)</f>
        <v>0.64833307549504848</v>
      </c>
      <c r="N29" s="6">
        <f>SQRT(SUM(N23:N27))</f>
        <v>0.5072818998491202</v>
      </c>
    </row>
    <row r="30" spans="1:15" ht="29" x14ac:dyDescent="0.35">
      <c r="A30" s="9" t="s">
        <v>59</v>
      </c>
      <c r="B30" s="7"/>
      <c r="C30" s="7"/>
      <c r="D30" s="36" t="s">
        <v>48</v>
      </c>
      <c r="E30" s="36" t="s">
        <v>49</v>
      </c>
      <c r="G30" s="36" t="s">
        <v>88</v>
      </c>
      <c r="H30" s="36" t="s">
        <v>35</v>
      </c>
      <c r="I30" s="36" t="s">
        <v>95</v>
      </c>
      <c r="M30" s="31"/>
      <c r="N30" s="31"/>
    </row>
    <row r="31" spans="1:15" ht="29" x14ac:dyDescent="0.35">
      <c r="A31" s="22" t="s">
        <v>37</v>
      </c>
      <c r="B31" s="22" t="s">
        <v>55</v>
      </c>
      <c r="C31" s="22" t="s">
        <v>75</v>
      </c>
      <c r="D31" s="22" t="s">
        <v>20</v>
      </c>
      <c r="E31" s="22" t="s">
        <v>20</v>
      </c>
      <c r="F31" s="22" t="s">
        <v>13</v>
      </c>
      <c r="G31" s="30" t="s">
        <v>89</v>
      </c>
      <c r="H31" s="23" t="s">
        <v>0</v>
      </c>
      <c r="I31" s="45" t="s">
        <v>93</v>
      </c>
      <c r="J31" s="34"/>
      <c r="K31" s="34"/>
      <c r="L31" s="34"/>
      <c r="M31" s="24" t="s">
        <v>50</v>
      </c>
      <c r="N31" s="24" t="s">
        <v>51</v>
      </c>
    </row>
    <row r="32" spans="1:15" x14ac:dyDescent="0.35">
      <c r="A32" s="1" t="s">
        <v>109</v>
      </c>
      <c r="B32" s="1" t="s">
        <v>119</v>
      </c>
      <c r="C32" s="1" t="s">
        <v>169</v>
      </c>
      <c r="D32" s="1" t="s">
        <v>136</v>
      </c>
      <c r="E32" s="16">
        <f>0.08/2^'DAC Calc'!$C$8*1000000</f>
        <v>19.53125</v>
      </c>
      <c r="F32" s="21" t="s">
        <v>15</v>
      </c>
      <c r="G32" s="14" t="s">
        <v>152</v>
      </c>
      <c r="H32" s="10">
        <f>'DAC Calc'!$C$38</f>
        <v>1</v>
      </c>
      <c r="I32" s="25">
        <f>E32/1000000*$C$9*H32*100</f>
        <v>5.859375E-2</v>
      </c>
      <c r="J32" s="14"/>
      <c r="L32" s="2"/>
      <c r="M32" s="6">
        <f>ABS(I32)</f>
        <v>5.859375E-2</v>
      </c>
      <c r="N32" s="17">
        <f>I32^2</f>
        <v>3.4332275390625E-3</v>
      </c>
      <c r="O32" s="2" t="s">
        <v>9</v>
      </c>
    </row>
    <row r="33" spans="1:15" x14ac:dyDescent="0.35">
      <c r="A33" s="1" t="s">
        <v>38</v>
      </c>
      <c r="B33" s="1" t="s">
        <v>120</v>
      </c>
      <c r="C33" s="1" t="s">
        <v>169</v>
      </c>
      <c r="D33" s="1" t="s">
        <v>137</v>
      </c>
      <c r="E33" s="1">
        <v>50</v>
      </c>
      <c r="F33" s="21" t="s">
        <v>15</v>
      </c>
      <c r="G33" s="14" t="s">
        <v>152</v>
      </c>
      <c r="H33" s="10">
        <f>'DAC Calc'!$C$42</f>
        <v>1</v>
      </c>
      <c r="I33" s="25">
        <f>E33/1000000*$C$9*H33*100</f>
        <v>0.15</v>
      </c>
      <c r="J33" s="14"/>
      <c r="M33" s="6">
        <f>ABS(I33)</f>
        <v>0.15</v>
      </c>
      <c r="N33" s="17">
        <f>I33^2</f>
        <v>2.2499999999999999E-2</v>
      </c>
      <c r="O33" s="2" t="s">
        <v>9</v>
      </c>
    </row>
    <row r="34" spans="1:15" x14ac:dyDescent="0.35">
      <c r="A34" s="1" t="s">
        <v>36</v>
      </c>
      <c r="B34" s="1" t="s">
        <v>80</v>
      </c>
      <c r="C34" s="1" t="s">
        <v>76</v>
      </c>
      <c r="D34" s="1" t="s">
        <v>78</v>
      </c>
      <c r="E34" s="1">
        <v>100</v>
      </c>
      <c r="F34" s="21" t="s">
        <v>15</v>
      </c>
      <c r="G34" s="14" t="s">
        <v>162</v>
      </c>
      <c r="H34" s="10">
        <f>'Amp1 Calc'!$C$41</f>
        <v>0.49999999999998934</v>
      </c>
      <c r="I34" s="25">
        <f>E34/1000000*$C$9*H34*100</f>
        <v>0.1499999999999968</v>
      </c>
      <c r="J34" s="14"/>
      <c r="M34" s="6">
        <f>ABS(I34)</f>
        <v>0.1499999999999968</v>
      </c>
      <c r="N34" s="17">
        <f>I34^2</f>
        <v>2.2499999999999042E-2</v>
      </c>
      <c r="O34" s="2" t="s">
        <v>9</v>
      </c>
    </row>
    <row r="35" spans="1:15" x14ac:dyDescent="0.35">
      <c r="A35" s="1" t="s">
        <v>38</v>
      </c>
      <c r="B35" s="1" t="s">
        <v>79</v>
      </c>
      <c r="C35" s="1" t="s">
        <v>76</v>
      </c>
      <c r="D35" s="1" t="s">
        <v>78</v>
      </c>
      <c r="E35" s="1">
        <v>100</v>
      </c>
      <c r="F35" s="21" t="s">
        <v>15</v>
      </c>
      <c r="G35" s="14" t="s">
        <v>162</v>
      </c>
      <c r="H35" s="10">
        <f>'Amp1 Calc'!$C$37</f>
        <v>-0.49504950495049549</v>
      </c>
      <c r="I35" s="25">
        <f>E35/1000000*$C$9*H35*100</f>
        <v>-0.14851485148514865</v>
      </c>
      <c r="J35" s="14"/>
      <c r="L35" s="2"/>
      <c r="M35" s="6">
        <f>ABS(I35)</f>
        <v>0.14851485148514865</v>
      </c>
      <c r="N35" s="17">
        <f>I35^2</f>
        <v>2.2056661111655759E-2</v>
      </c>
      <c r="O35" s="2" t="s">
        <v>9</v>
      </c>
    </row>
    <row r="36" spans="1:15" x14ac:dyDescent="0.35">
      <c r="B36" s="1" t="s">
        <v>25</v>
      </c>
      <c r="E36" s="1"/>
    </row>
    <row r="37" spans="1:15" x14ac:dyDescent="0.35">
      <c r="G37" s="1"/>
      <c r="H37" s="1"/>
      <c r="I37" s="1"/>
      <c r="M37" s="39" t="s">
        <v>70</v>
      </c>
      <c r="N37" s="33" t="s">
        <v>71</v>
      </c>
    </row>
    <row r="38" spans="1:15" x14ac:dyDescent="0.35">
      <c r="G38" s="1"/>
      <c r="H38" s="1"/>
      <c r="I38" s="1"/>
      <c r="M38" s="6">
        <f>SUM(M32:M36)</f>
        <v>0.50710860148514547</v>
      </c>
      <c r="N38" s="6">
        <f>SQRT(SUM(N32:N36))</f>
        <v>0.26549931949200417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Amp1 Calc</vt:lpstr>
      <vt:lpstr>DAC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2025-06-18T15:15:24Z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