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2BE640AC-90B0-45ED-866B-6312162508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-Divider Calc" sheetId="12" r:id="rId1"/>
    <sheet name="ADC Calc" sheetId="11" r:id="rId2"/>
    <sheet name="Offset Errors" sheetId="9" r:id="rId3"/>
    <sheet name="Gain Errors" sheetId="10" r:id="rId4"/>
  </sheets>
  <calcPr calcId="191029"/>
</workbook>
</file>

<file path=xl/calcChain.xml><?xml version="1.0" encoding="utf-8"?>
<calcChain xmlns="http://schemas.openxmlformats.org/spreadsheetml/2006/main">
  <c r="E25" i="10" l="1"/>
  <c r="E34" i="10"/>
  <c r="C11" i="11"/>
  <c r="C30" i="12"/>
  <c r="C29" i="12"/>
  <c r="C26" i="12"/>
  <c r="C25" i="12"/>
  <c r="C10" i="12"/>
  <c r="J32" i="9" s="1"/>
  <c r="J23" i="9" l="1"/>
  <c r="J30" i="9"/>
  <c r="J31" i="9"/>
  <c r="C27" i="12"/>
  <c r="C31" i="12"/>
  <c r="C13" i="12"/>
  <c r="H23" i="10" l="1"/>
  <c r="I23" i="10" s="1"/>
  <c r="H32" i="10"/>
  <c r="I32" i="10" s="1"/>
  <c r="H33" i="10"/>
  <c r="I33" i="10" s="1"/>
  <c r="H24" i="10"/>
  <c r="I24" i="10" s="1"/>
  <c r="C45" i="11"/>
  <c r="C44" i="11"/>
  <c r="C41" i="11"/>
  <c r="C40" i="11"/>
  <c r="C17" i="11"/>
  <c r="E23" i="9" s="1"/>
  <c r="C13" i="11"/>
  <c r="E30" i="9" s="1"/>
  <c r="H23" i="9"/>
  <c r="H32" i="9"/>
  <c r="H31" i="9"/>
  <c r="C12" i="11"/>
  <c r="M33" i="10" l="1"/>
  <c r="N33" i="10"/>
  <c r="N24" i="10"/>
  <c r="M24" i="10"/>
  <c r="M32" i="10"/>
  <c r="N32" i="10"/>
  <c r="N23" i="10"/>
  <c r="M23" i="10"/>
  <c r="E32" i="9"/>
  <c r="E31" i="9"/>
  <c r="I32" i="9"/>
  <c r="K32" i="9" s="1"/>
  <c r="N32" i="9" s="1"/>
  <c r="I31" i="9"/>
  <c r="K31" i="9" s="1"/>
  <c r="N31" i="9" s="1"/>
  <c r="C46" i="11"/>
  <c r="C42" i="11"/>
  <c r="C20" i="11" l="1"/>
  <c r="H34" i="10"/>
  <c r="I34" i="10" s="1"/>
  <c r="H25" i="10"/>
  <c r="I25" i="10" s="1"/>
  <c r="H26" i="10"/>
  <c r="I26" i="10" s="1"/>
  <c r="H35" i="10"/>
  <c r="I35" i="10" s="1"/>
  <c r="M31" i="9"/>
  <c r="M32" i="9"/>
  <c r="I23" i="9" l="1"/>
  <c r="K23" i="9" s="1"/>
  <c r="H30" i="9"/>
  <c r="I30" i="9" s="1"/>
  <c r="K30" i="9" s="1"/>
  <c r="N34" i="10"/>
  <c r="M34" i="10"/>
  <c r="M25" i="10"/>
  <c r="N25" i="10"/>
  <c r="N35" i="10"/>
  <c r="M35" i="10"/>
  <c r="N26" i="10"/>
  <c r="M26" i="10"/>
  <c r="M29" i="10" l="1"/>
  <c r="M38" i="10"/>
  <c r="M30" i="9"/>
  <c r="N30" i="9"/>
  <c r="M23" i="9"/>
  <c r="N23" i="9"/>
  <c r="M35" i="9" l="1"/>
  <c r="D13" i="9" s="1"/>
  <c r="N29" i="10"/>
  <c r="N26" i="9"/>
  <c r="N38" i="10" l="1"/>
  <c r="C13" i="10"/>
  <c r="N35" i="9"/>
  <c r="M26" i="9"/>
  <c r="C13" i="9" s="1"/>
  <c r="E13" i="9" s="1"/>
  <c r="F13" i="9" s="1"/>
  <c r="G13" i="9" s="1"/>
  <c r="D13" i="10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3" authorId="0" shapeId="0" xr:uid="{88E97CA2-400F-48E6-9F4B-F41EBB7B1B04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Vlsb (from ADC Calc sheet)
  err_V = err_LSB * Vlsb</t>
        </r>
      </text>
    </comment>
    <comment ref="B24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5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5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29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0" authorId="0" shapeId="0" xr:uid="{E05769A0-1D43-49EC-8059-66A3E0F4F68A}">
      <text>
        <r>
          <rPr>
            <sz val="9"/>
            <color indexed="81"/>
            <rFont val="Tahoma"/>
            <family val="2"/>
          </rPr>
          <t>Error often spec'd in output LSBs (per C).
Enter LSBs into formula that converts output LSB to input V by Vres (from ADC Calc sheet)
  err_V = err_LSB * Vlsb</t>
        </r>
      </text>
    </comment>
    <comment ref="E31" authorId="0" shapeId="0" xr:uid="{676B1D6A-4900-4E92-AE49-F5899CF6BC5C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E32" authorId="0" shapeId="0" xr:uid="{75AC7DFD-1780-4032-8D8E-D4A7A610C4DF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B33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4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4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5" authorId="0" shapeId="0" xr:uid="{E50D9FC5-EE99-4FF6-B7CD-A0B834562D69}">
      <text>
        <r>
          <rPr>
            <sz val="9"/>
            <color indexed="81"/>
            <rFont val="Tahoma"/>
            <family val="2"/>
          </rPr>
          <t>Error often spec'd in output LSB
Enter LSB into formula that converts LSB to % using N bits (from ADC Calc sheet).
  err_% = err_LSB / (2^N)*100%</t>
        </r>
      </text>
    </comment>
    <comment ref="B27" authorId="0" shapeId="0" xr:uid="{04DF4B6A-D2D7-403D-A9A8-5894F1C687F5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4" authorId="0" shapeId="0" xr:uid="{ACC98D57-B341-40ED-A50E-7C4579D1EDB5}">
      <text>
        <r>
          <rPr>
            <sz val="9"/>
            <color indexed="81"/>
            <rFont val="Tahoma"/>
            <family val="2"/>
          </rPr>
          <t>Error often spec'd in output LSB (per C) 
Enter LSB into formula that converts LSB to ppm using N bits (from ADC Calc sheet).
 ppm_err = LSB_err/(2^N)*1e6</t>
        </r>
      </text>
    </comment>
    <comment ref="B36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7" authorId="0" shapeId="0" xr:uid="{9F9A46B0-A302-4FF8-A6D6-457FF32A941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7" authorId="0" shapeId="0" xr:uid="{8B983ADE-2AEC-493B-A609-16097AB27CF7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<sst xmlns="http://schemas.openxmlformats.org/spreadsheetml/2006/main" count="322" uniqueCount="158">
  <si>
    <t>S</t>
  </si>
  <si>
    <t>K</t>
  </si>
  <si>
    <t>K'</t>
  </si>
  <si>
    <t>V</t>
  </si>
  <si>
    <t>OFFSET ERRORS</t>
  </si>
  <si>
    <t>GAIN ERRORS</t>
  </si>
  <si>
    <t>%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</si>
  <si>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</si>
  <si>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</si>
  <si>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unit</t>
  </si>
  <si>
    <t>Initial Errors</t>
  </si>
  <si>
    <t>ppm/C</t>
  </si>
  <si>
    <t>V/C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</si>
  <si>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</si>
  <si>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</si>
  <si>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</si>
  <si>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</si>
  <si>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</si>
  <si>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</si>
  <si>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</si>
  <si>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</si>
  <si>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</si>
  <si>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</si>
  <si>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</si>
  <si>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</si>
  <si>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</si>
  <si>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</si>
  <si>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</si>
  <si>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</si>
  <si>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Block</t>
  </si>
  <si>
    <t>"</t>
  </si>
  <si>
    <t>Circuit Block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</si>
  <si>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</si>
  <si>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</si>
  <si>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</si>
  <si>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</si>
  <si>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</si>
  <si>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</si>
  <si>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</si>
  <si>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</si>
  <si>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</si>
  <si>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</si>
  <si>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</si>
  <si>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</si>
  <si>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</si>
  <si>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Offset Error RTI</t>
  </si>
  <si>
    <t>Name</t>
  </si>
  <si>
    <t>abs(ΔVoffset_rti)</t>
  </si>
  <si>
    <t>Δvoffset_rti^2</t>
  </si>
  <si>
    <t>Drift Errors</t>
  </si>
  <si>
    <t>U1 voff</t>
  </si>
  <si>
    <t xml:space="preserve">   Error Budget Results</t>
  </si>
  <si>
    <t>Spec Error (V)</t>
  </si>
  <si>
    <t>Spec Error (%)</t>
  </si>
  <si>
    <t>WCA Total</t>
  </si>
  <si>
    <t>RSS Total</t>
  </si>
  <si>
    <t>Part</t>
  </si>
  <si>
    <t>voff</t>
  </si>
  <si>
    <t>S, Analysis Node</t>
  </si>
  <si>
    <t>vin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</si>
  <si>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</si>
  <si>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</si>
  <si>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</si>
  <si>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</si>
  <si>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</si>
  <si>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</si>
  <si>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</si>
  <si>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</si>
  <si>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</si>
  <si>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</si>
  <si>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</si>
  <si>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</si>
  <si>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</si>
  <si>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</si>
  <si>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</si>
  <si>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</si>
  <si>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</si>
  <si>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</si>
  <si>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</si>
  <si>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Root Sum Square</t>
  </si>
  <si>
    <t>Worst Case Analysis</t>
  </si>
  <si>
    <t>Circuit Calc - ADC</t>
  </si>
  <si>
    <t>Components &amp; Parameters</t>
  </si>
  <si>
    <t>ADC</t>
  </si>
  <si>
    <t>Reference</t>
  </si>
  <si>
    <t>Vref</t>
  </si>
  <si>
    <t>Resolution (Bits)</t>
  </si>
  <si>
    <t>N</t>
  </si>
  <si>
    <t>ADCword</t>
  </si>
  <si>
    <t>2^N-1</t>
  </si>
  <si>
    <t>vout</t>
  </si>
  <si>
    <t>S, vadc</t>
  </si>
  <si>
    <t>U1 Vres</t>
  </si>
  <si>
    <t>U1 Vinl</t>
  </si>
  <si>
    <t>U1 Gain err</t>
  </si>
  <si>
    <t>vadc</t>
  </si>
  <si>
    <t>AD001</t>
  </si>
  <si>
    <t>U2 voff_TC</t>
  </si>
  <si>
    <t>U1 Gain Tol</t>
  </si>
  <si>
    <t>U2 Vref Tol</t>
  </si>
  <si>
    <t>U1 Gain TC</t>
  </si>
  <si>
    <t>U2 Vref TC</t>
  </si>
  <si>
    <t>ADCword_max</t>
  </si>
  <si>
    <t>Kadc = ADCword_max / Vref</t>
  </si>
  <si>
    <t>Kadc (Vref*1.01)</t>
  </si>
  <si>
    <t xml:space="preserve">K' is the gain with a 1% change to calc S. </t>
  </si>
  <si>
    <t>U2 Res</t>
  </si>
  <si>
    <t>U2 INL</t>
  </si>
  <si>
    <t>S   (How does each error source contribute to the Analysis Node)</t>
  </si>
  <si>
    <t>S = 1, errors in series with vadc</t>
  </si>
  <si>
    <t xml:space="preserve">Vref/2^N </t>
  </si>
  <si>
    <t>Input V</t>
  </si>
  <si>
    <t>ADCword = vadc* (2^N-1) / Vref</t>
  </si>
  <si>
    <t>Analog In</t>
  </si>
  <si>
    <t>Digital Out</t>
  </si>
  <si>
    <t xml:space="preserve">Resolution </t>
  </si>
  <si>
    <t>Gain</t>
  </si>
  <si>
    <t>Kadc (LSB/V)</t>
  </si>
  <si>
    <t>Vlsb (V/LSB)</t>
  </si>
  <si>
    <t>U1, ADC, voff_TC</t>
  </si>
  <si>
    <t>U1, ADC, Res</t>
  </si>
  <si>
    <t>U1, ADC, INL</t>
  </si>
  <si>
    <t>U1, ADC, Tol</t>
  </si>
  <si>
    <t>U2, Vref, Tol</t>
  </si>
  <si>
    <t>U1, ADC, Gain TC</t>
  </si>
  <si>
    <t>U2, Vref, TC</t>
  </si>
  <si>
    <t>Kadc = (2^N-1) / Vref</t>
  </si>
  <si>
    <t>Kadc' = (2^N-1)*1.01 / Vref</t>
  </si>
  <si>
    <t>Kadc = ADCword_max/vadc = (2^N-1) / Vref</t>
  </si>
  <si>
    <t>Circuit, Gains, Levels</t>
  </si>
  <si>
    <t>Components</t>
  </si>
  <si>
    <t>R1</t>
  </si>
  <si>
    <t>ohms</t>
  </si>
  <si>
    <t>R2</t>
  </si>
  <si>
    <t>Signal Gain</t>
  </si>
  <si>
    <t>Full-Scale Signals</t>
  </si>
  <si>
    <t>vin_FS</t>
  </si>
  <si>
    <t>Max input signal</t>
  </si>
  <si>
    <t>vo_FS</t>
  </si>
  <si>
    <t>vo_FS = vin_FS * K</t>
  </si>
  <si>
    <t>S   (How does each error source contribute to an Offset error at Analysis Node)</t>
  </si>
  <si>
    <t xml:space="preserve">K' is the gain with a 1% tol to calc S. </t>
  </si>
  <si>
    <t xml:space="preserve">                 Similarly, a 0.1% change in R causes a 0.05% change in the K.</t>
  </si>
  <si>
    <t>vo/vin = R2/(R1+R2)</t>
  </si>
  <si>
    <t>R2/(R1+R2)</t>
  </si>
  <si>
    <t>R2/(R1*1.01+R2)</t>
  </si>
  <si>
    <t>R2*1.01/(R1+R2*1.01)</t>
  </si>
  <si>
    <t>Circuit Calc - R Divider</t>
  </si>
  <si>
    <t>Divider</t>
  </si>
  <si>
    <t>R1 Tol</t>
  </si>
  <si>
    <t>R2 Tol</t>
  </si>
  <si>
    <t>RES001</t>
  </si>
  <si>
    <t>R_Tol</t>
  </si>
  <si>
    <t>R1 TC</t>
  </si>
  <si>
    <t>R2 TC</t>
  </si>
  <si>
    <t>counts</t>
  </si>
  <si>
    <t>Levels</t>
  </si>
  <si>
    <t>2^N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</si>
</sst>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0.00000"/>
    <numFmt numFmtId="168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8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27-4419-92AE-775585F057E5}"/>
              </c:ext>
            </c:extLst>
          </c:dPt>
          <c:cat>
            <c:strRef>
              <c:f>'Offset Errors'!$B$23:$B$24</c:f>
              <c:strCache>
                <c:ptCount val="2"/>
                <c:pt idx="0">
                  <c:v>U1 voff</c:v>
                </c:pt>
                <c:pt idx="1">
                  <c:v>end</c:v>
                </c:pt>
              </c:strCache>
            </c:strRef>
          </c:cat>
          <c:val>
            <c:numRef>
              <c:f>'Offset Errors'!$M$23:$M$24</c:f>
              <c:numCache>
                <c:formatCode>General</c:formatCode>
                <c:ptCount val="2"/>
                <c:pt idx="0" formatCode="0.000000">
                  <c:v>7.331378299120235E-2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449726614054462"/>
          <c:y val="0.21095618708461406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Errors'!$M$29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38-48A3-BB59-0101343A6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38-48A3-BB59-0101343A6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138-48A3-BB59-0101343A6B51}"/>
              </c:ext>
            </c:extLst>
          </c:dPt>
          <c:cat>
            <c:strRef>
              <c:f>'Offset Errors'!$B$30:$B$33</c:f>
              <c:strCache>
                <c:ptCount val="4"/>
                <c:pt idx="0">
                  <c:v>U1, ADC, voff_TC</c:v>
                </c:pt>
                <c:pt idx="1">
                  <c:v>U1, ADC, Res</c:v>
                </c:pt>
                <c:pt idx="2">
                  <c:v>U1, ADC, INL</c:v>
                </c:pt>
                <c:pt idx="3">
                  <c:v>end</c:v>
                </c:pt>
              </c:strCache>
            </c:strRef>
          </c:cat>
          <c:val>
            <c:numRef>
              <c:f>'Offset Errors'!$M$30:$M$33</c:f>
              <c:numCache>
                <c:formatCode>0.000000</c:formatCode>
                <c:ptCount val="4"/>
                <c:pt idx="0">
                  <c:v>2.9296875E-2</c:v>
                </c:pt>
                <c:pt idx="1">
                  <c:v>1.220703125E-2</c:v>
                </c:pt>
                <c:pt idx="2">
                  <c:v>2.44140625E-2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761895180136859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D-4A2F-8095-9441D0A684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AD-4A2F-8095-9441D0A684C9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R1 Tol</c:v>
                </c:pt>
                <c:pt idx="1">
                  <c:v>R2 Tol</c:v>
                </c:pt>
                <c:pt idx="2">
                  <c:v>U1, ADC, Tol</c:v>
                </c:pt>
                <c:pt idx="3">
                  <c:v>U2, Vref, Tol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7.9365079365080471E-2</c:v>
                </c:pt>
                <c:pt idx="1">
                  <c:v>7.9840319361276779E-2</c:v>
                </c:pt>
                <c:pt idx="2">
                  <c:v>0.19531250000000194</c:v>
                </c:pt>
                <c:pt idx="3">
                  <c:v>9.9009900990098113E-2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801632846485571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73859084125371"/>
          <c:y val="0.20520791165441404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F-48C7-A01D-FA670F13E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EF-48C7-A01D-FA670F13E11D}"/>
              </c:ext>
            </c:extLst>
          </c:dPt>
          <c:cat>
            <c:strRef>
              <c:f>'Gain Errors'!$B$32:$B$36</c:f>
              <c:strCache>
                <c:ptCount val="5"/>
                <c:pt idx="0">
                  <c:v>R1 TC</c:v>
                </c:pt>
                <c:pt idx="1">
                  <c:v>R2 TC</c:v>
                </c:pt>
                <c:pt idx="2">
                  <c:v>U1, ADC, Gain TC</c:v>
                </c:pt>
                <c:pt idx="3">
                  <c:v>U2, Vref, TC</c:v>
                </c:pt>
                <c:pt idx="4">
                  <c:v>end</c:v>
                </c:pt>
              </c:strCache>
            </c:strRef>
          </c:cat>
          <c:val>
            <c:numRef>
              <c:f>'Gain Errors'!$M$32:$M$36</c:f>
              <c:numCache>
                <c:formatCode>0.000</c:formatCode>
                <c:ptCount val="5"/>
                <c:pt idx="0">
                  <c:v>0.23809523809524141</c:v>
                </c:pt>
                <c:pt idx="1">
                  <c:v>0.23952095808383034</c:v>
                </c:pt>
                <c:pt idx="2">
                  <c:v>0.23437500000000233</c:v>
                </c:pt>
                <c:pt idx="3">
                  <c:v>0.14851485148514718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9167826565077368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97118</xdr:colOff>
      <xdr:row>5</xdr:row>
      <xdr:rowOff>74707</xdr:rowOff>
    </xdr:from>
    <xdr:to>
      <xdr:col>9</xdr:col>
      <xdr:colOff>395941</xdr:colOff>
      <xdr:row>13</xdr:row>
      <xdr:rowOff>181403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EFB56F-583A-79D6-8EFF-AC9C47486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824" y="1098178"/>
          <a:ext cx="2278529" cy="1600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99785</xdr:colOff>
      <xdr:row>5</xdr:row>
      <xdr:rowOff>81642</xdr:rowOff>
    </xdr:from>
    <xdr:to>
      <xdr:col>11</xdr:col>
      <xdr:colOff>289083</xdr:colOff>
      <xdr:row>15</xdr:row>
      <xdr:rowOff>172357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ADDD84-C467-8816-C73B-4250060F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714" y="1088571"/>
          <a:ext cx="4806655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59BA-F7FC-4236-A0CD-77F9F2AEFB27}">
  <sheetPr>
    <tabColor rgb="FFFFFF99"/>
  </sheetPr>
  <dimension ref="A1:J37"/>
  <sheetViews>
    <sheetView tabSelected="1" zoomScale="70" zoomScaleNormal="70" workbookViewId="0">
      <selection activeCell="L18" sqref="L18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147</v>
      </c>
      <c r="F1" s="1"/>
    </row>
    <row r="2" spans="1:8" ht="15.5" x14ac:dyDescent="0.35">
      <c r="A2" s="46" t="s">
        <v>75</v>
      </c>
      <c r="E2" s="3"/>
      <c r="F2" s="2" t="s">
        <v>13</v>
      </c>
    </row>
    <row r="3" spans="1:8" x14ac:dyDescent="0.35">
      <c r="E3" s="4"/>
      <c r="F3" s="2" t="s">
        <v>14</v>
      </c>
      <c r="H3" s="1"/>
    </row>
    <row r="4" spans="1:8" x14ac:dyDescent="0.35">
      <c r="F4" s="1"/>
      <c r="G4" s="1"/>
      <c r="H4" s="1"/>
    </row>
    <row r="5" spans="1:8" x14ac:dyDescent="0.35">
      <c r="A5" s="5" t="s">
        <v>129</v>
      </c>
      <c r="B5" s="5"/>
      <c r="C5" s="5"/>
      <c r="D5" s="5"/>
      <c r="E5" s="5"/>
    </row>
    <row r="7" spans="1:8" x14ac:dyDescent="0.35">
      <c r="A7" t="s">
        <v>130</v>
      </c>
      <c r="B7" s="3" t="s">
        <v>131</v>
      </c>
      <c r="C7" s="49">
        <v>800000</v>
      </c>
      <c r="D7" t="s">
        <v>132</v>
      </c>
    </row>
    <row r="8" spans="1:8" x14ac:dyDescent="0.35">
      <c r="B8" s="3" t="s">
        <v>133</v>
      </c>
      <c r="C8" s="49">
        <v>200000</v>
      </c>
      <c r="D8" t="s">
        <v>132</v>
      </c>
    </row>
    <row r="10" spans="1:8" x14ac:dyDescent="0.35">
      <c r="A10" t="s">
        <v>134</v>
      </c>
      <c r="B10" s="4" t="s">
        <v>1</v>
      </c>
      <c r="C10" s="6">
        <f>$C$8/($C$7+$C$8)</f>
        <v>0.2</v>
      </c>
      <c r="D10" t="s">
        <v>143</v>
      </c>
    </row>
    <row r="12" spans="1:8" x14ac:dyDescent="0.35">
      <c r="A12" t="s">
        <v>135</v>
      </c>
      <c r="B12" s="3" t="s">
        <v>136</v>
      </c>
      <c r="C12" s="10">
        <v>25</v>
      </c>
      <c r="D12" s="19" t="s">
        <v>137</v>
      </c>
    </row>
    <row r="13" spans="1:8" x14ac:dyDescent="0.35">
      <c r="B13" s="4" t="s">
        <v>138</v>
      </c>
      <c r="C13" s="10">
        <f>C12*C10</f>
        <v>5</v>
      </c>
      <c r="D13" t="s">
        <v>139</v>
      </c>
    </row>
    <row r="17" spans="1:10" x14ac:dyDescent="0.35">
      <c r="A17" s="15" t="s">
        <v>36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35">
      <c r="A18" t="s">
        <v>140</v>
      </c>
      <c r="B18" s="9"/>
      <c r="E18" s="9"/>
    </row>
    <row r="19" spans="1:10" x14ac:dyDescent="0.35">
      <c r="A19" s="7"/>
      <c r="B19" s="9"/>
      <c r="E19" s="9"/>
    </row>
    <row r="20" spans="1:10" x14ac:dyDescent="0.35">
      <c r="A20" s="11"/>
      <c r="C20" s="10"/>
      <c r="D20" s="2"/>
    </row>
    <row r="21" spans="1:10" x14ac:dyDescent="0.35">
      <c r="A21" s="8"/>
      <c r="D21" s="2"/>
    </row>
    <row r="22" spans="1:10" x14ac:dyDescent="0.35">
      <c r="A22" s="15" t="s">
        <v>37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35">
      <c r="A23" t="s">
        <v>44</v>
      </c>
      <c r="B23" s="9"/>
      <c r="E23" s="9"/>
    </row>
    <row r="24" spans="1:10" x14ac:dyDescent="0.35">
      <c r="A24" s="12"/>
      <c r="B24" s="1"/>
      <c r="D24" s="1"/>
      <c r="E24" s="11"/>
    </row>
    <row r="25" spans="1:10" x14ac:dyDescent="0.35">
      <c r="A25" s="11" t="s">
        <v>131</v>
      </c>
      <c r="B25" s="4" t="s">
        <v>1</v>
      </c>
      <c r="C25" s="6">
        <f>$C$8/($C$7+$C$8)</f>
        <v>0.2</v>
      </c>
      <c r="D25" t="s">
        <v>144</v>
      </c>
      <c r="F25" s="13" t="s">
        <v>7</v>
      </c>
    </row>
    <row r="26" spans="1:10" x14ac:dyDescent="0.35">
      <c r="A26" s="8"/>
      <c r="B26" s="4" t="s">
        <v>2</v>
      </c>
      <c r="C26" s="6">
        <f>$C$8/($C$7*1.01+$C$8)</f>
        <v>0.1984126984126984</v>
      </c>
      <c r="D26" t="s">
        <v>145</v>
      </c>
      <c r="F26" s="13" t="s">
        <v>141</v>
      </c>
    </row>
    <row r="27" spans="1:10" x14ac:dyDescent="0.35">
      <c r="A27" s="8"/>
      <c r="B27" s="4" t="s">
        <v>0</v>
      </c>
      <c r="C27" s="25">
        <f>((C26-C25)/C25)/0.01</f>
        <v>-0.79365079365080471</v>
      </c>
      <c r="D27" s="2" t="s">
        <v>32</v>
      </c>
      <c r="F27" t="s">
        <v>8</v>
      </c>
    </row>
    <row r="29" spans="1:10" x14ac:dyDescent="0.35">
      <c r="A29" s="11" t="s">
        <v>133</v>
      </c>
      <c r="B29" s="4" t="s">
        <v>1</v>
      </c>
      <c r="C29" s="6">
        <f>$C$8/($C$7+$C$8)</f>
        <v>0.2</v>
      </c>
      <c r="D29" t="s">
        <v>144</v>
      </c>
    </row>
    <row r="30" spans="1:10" x14ac:dyDescent="0.35">
      <c r="A30" s="8"/>
      <c r="B30" s="4" t="s">
        <v>2</v>
      </c>
      <c r="C30" s="6">
        <f>$C$8*1.01/($C$7+$C$8*1.01)</f>
        <v>0.20159680638722555</v>
      </c>
      <c r="D30" t="s">
        <v>146</v>
      </c>
    </row>
    <row r="31" spans="1:10" x14ac:dyDescent="0.35">
      <c r="A31" s="8"/>
      <c r="B31" s="4" t="s">
        <v>0</v>
      </c>
      <c r="C31" s="25">
        <f>((C30-C29)/C29)/0.01</f>
        <v>0.79840319361276779</v>
      </c>
      <c r="D31" s="2" t="s">
        <v>32</v>
      </c>
    </row>
    <row r="34" spans="1:4" x14ac:dyDescent="0.35">
      <c r="A34" t="s">
        <v>34</v>
      </c>
      <c r="B34" s="9"/>
      <c r="D34" s="2"/>
    </row>
    <row r="35" spans="1:4" x14ac:dyDescent="0.35">
      <c r="A35" t="s">
        <v>26</v>
      </c>
      <c r="B35" s="9"/>
      <c r="D35" s="2"/>
    </row>
    <row r="36" spans="1:4" x14ac:dyDescent="0.35">
      <c r="A36" t="s">
        <v>25</v>
      </c>
      <c r="B36" s="9"/>
      <c r="D36" s="2"/>
    </row>
    <row r="37" spans="1:4" x14ac:dyDescent="0.35">
      <c r="A37" t="s">
        <v>142</v>
      </c>
      <c r="B37" s="9"/>
      <c r="D37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147F-9885-4D03-B87C-487F7CB062A6}">
  <sheetPr>
    <tabColor rgb="FFFFFF99"/>
  </sheetPr>
  <dimension ref="A1:J46"/>
  <sheetViews>
    <sheetView zoomScale="70" zoomScaleNormal="70" workbookViewId="0">
      <selection activeCell="P19" sqref="P19"/>
    </sheetView>
  </sheetViews>
  <sheetFormatPr defaultRowHeight="14.5" x14ac:dyDescent="0.35"/>
  <cols>
    <col min="1" max="1" width="17.08984375" customWidth="1"/>
    <col min="2" max="2" width="15.089843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81</v>
      </c>
      <c r="F1" s="1"/>
    </row>
    <row r="2" spans="1:8" ht="15.5" x14ac:dyDescent="0.35">
      <c r="A2" s="46" t="s">
        <v>75</v>
      </c>
      <c r="E2" s="3"/>
      <c r="F2" s="2" t="s">
        <v>13</v>
      </c>
    </row>
    <row r="3" spans="1:8" x14ac:dyDescent="0.35">
      <c r="E3" s="4"/>
      <c r="F3" s="2" t="s">
        <v>14</v>
      </c>
      <c r="H3" s="1"/>
    </row>
    <row r="4" spans="1:8" x14ac:dyDescent="0.35">
      <c r="F4" s="1"/>
      <c r="G4" s="1"/>
      <c r="H4" s="1"/>
    </row>
    <row r="5" spans="1:8" x14ac:dyDescent="0.35">
      <c r="A5" s="5" t="s">
        <v>82</v>
      </c>
      <c r="B5" s="5"/>
      <c r="C5" s="5"/>
      <c r="D5" s="5"/>
      <c r="E5" s="5"/>
    </row>
    <row r="7" spans="1:8" x14ac:dyDescent="0.35">
      <c r="A7" t="s">
        <v>31</v>
      </c>
      <c r="B7" s="3" t="s">
        <v>46</v>
      </c>
      <c r="C7" s="1" t="s">
        <v>83</v>
      </c>
    </row>
    <row r="8" spans="1:8" ht="14.25" customHeight="1" x14ac:dyDescent="0.35"/>
    <row r="9" spans="1:8" x14ac:dyDescent="0.35">
      <c r="A9" t="s">
        <v>84</v>
      </c>
      <c r="B9" s="3" t="s">
        <v>85</v>
      </c>
      <c r="C9" s="6">
        <v>5</v>
      </c>
    </row>
    <row r="10" spans="1:8" x14ac:dyDescent="0.35">
      <c r="A10" t="s">
        <v>86</v>
      </c>
      <c r="B10" s="3" t="s">
        <v>87</v>
      </c>
      <c r="C10" s="1">
        <v>10</v>
      </c>
    </row>
    <row r="11" spans="1:8" x14ac:dyDescent="0.35">
      <c r="A11" t="s">
        <v>156</v>
      </c>
      <c r="B11" s="4" t="s">
        <v>155</v>
      </c>
      <c r="C11" s="16">
        <f>2^$C$10</f>
        <v>1024</v>
      </c>
      <c r="D11" t="s">
        <v>157</v>
      </c>
    </row>
    <row r="12" spans="1:8" x14ac:dyDescent="0.35">
      <c r="A12" t="s">
        <v>88</v>
      </c>
      <c r="B12" s="4" t="s">
        <v>102</v>
      </c>
      <c r="C12" s="16">
        <f>2^$C$10-1</f>
        <v>1023</v>
      </c>
      <c r="D12" t="s">
        <v>89</v>
      </c>
    </row>
    <row r="13" spans="1:8" x14ac:dyDescent="0.35">
      <c r="A13" t="s">
        <v>115</v>
      </c>
      <c r="B13" s="4" t="s">
        <v>118</v>
      </c>
      <c r="C13" s="18">
        <f>$C$9/(2^$C$10)</f>
        <v>4.8828125E-3</v>
      </c>
      <c r="D13" t="s">
        <v>110</v>
      </c>
    </row>
    <row r="15" spans="1:8" x14ac:dyDescent="0.35">
      <c r="A15" t="s">
        <v>43</v>
      </c>
      <c r="B15" s="3" t="s">
        <v>59</v>
      </c>
      <c r="C15" s="1" t="s">
        <v>95</v>
      </c>
    </row>
    <row r="16" spans="1:8" x14ac:dyDescent="0.35">
      <c r="A16" t="s">
        <v>33</v>
      </c>
      <c r="B16" s="3" t="s">
        <v>90</v>
      </c>
      <c r="C16" s="1" t="s">
        <v>88</v>
      </c>
    </row>
    <row r="17" spans="1:10" x14ac:dyDescent="0.35">
      <c r="A17" t="s">
        <v>116</v>
      </c>
      <c r="B17" s="3" t="s">
        <v>117</v>
      </c>
      <c r="C17" s="10">
        <f>(2^$C$10-1)/$C$9</f>
        <v>204.6</v>
      </c>
      <c r="D17" t="s">
        <v>128</v>
      </c>
    </row>
    <row r="19" spans="1:10" x14ac:dyDescent="0.35">
      <c r="A19" t="s">
        <v>113</v>
      </c>
      <c r="B19" s="3" t="s">
        <v>95</v>
      </c>
      <c r="C19" s="10">
        <v>5</v>
      </c>
      <c r="D19" s="19" t="s">
        <v>111</v>
      </c>
    </row>
    <row r="20" spans="1:10" x14ac:dyDescent="0.35">
      <c r="A20" t="s">
        <v>114</v>
      </c>
      <c r="B20" s="4" t="s">
        <v>88</v>
      </c>
      <c r="C20" s="16">
        <f>C19*C17</f>
        <v>1023</v>
      </c>
      <c r="D20" t="s">
        <v>112</v>
      </c>
    </row>
    <row r="23" spans="1:10" x14ac:dyDescent="0.35">
      <c r="A23" s="15" t="s">
        <v>36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35">
      <c r="A24" t="s">
        <v>108</v>
      </c>
      <c r="B24" s="9"/>
      <c r="E24" s="9"/>
    </row>
    <row r="25" spans="1:10" x14ac:dyDescent="0.35">
      <c r="A25" s="7"/>
      <c r="B25" s="9"/>
      <c r="E25" s="9"/>
    </row>
    <row r="26" spans="1:10" x14ac:dyDescent="0.35">
      <c r="A26" s="31" t="s">
        <v>39</v>
      </c>
      <c r="B26" t="s">
        <v>58</v>
      </c>
    </row>
    <row r="27" spans="1:10" x14ac:dyDescent="0.35">
      <c r="A27" s="11" t="s">
        <v>50</v>
      </c>
      <c r="B27" s="4" t="s">
        <v>91</v>
      </c>
      <c r="C27" s="18">
        <v>1</v>
      </c>
      <c r="E27" s="2" t="s">
        <v>109</v>
      </c>
    </row>
    <row r="28" spans="1:10" x14ac:dyDescent="0.35">
      <c r="A28" s="11" t="s">
        <v>92</v>
      </c>
      <c r="C28" s="10"/>
      <c r="E28" s="2"/>
    </row>
    <row r="29" spans="1:10" x14ac:dyDescent="0.35">
      <c r="A29" s="11" t="s">
        <v>93</v>
      </c>
      <c r="C29" s="10"/>
      <c r="D29" s="2"/>
    </row>
    <row r="30" spans="1:10" x14ac:dyDescent="0.35">
      <c r="A30" s="11"/>
      <c r="C30" s="10"/>
      <c r="D30" s="2"/>
    </row>
    <row r="31" spans="1:10" x14ac:dyDescent="0.35">
      <c r="A31" s="11"/>
      <c r="C31" s="10"/>
      <c r="D31" s="2"/>
    </row>
    <row r="32" spans="1:10" x14ac:dyDescent="0.35">
      <c r="A32" s="8"/>
      <c r="D32" s="2"/>
    </row>
    <row r="33" spans="1:10" x14ac:dyDescent="0.35">
      <c r="A33" s="15" t="s">
        <v>37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35">
      <c r="A34" t="s">
        <v>44</v>
      </c>
      <c r="B34" s="9"/>
      <c r="E34" s="9"/>
    </row>
    <row r="35" spans="1:10" x14ac:dyDescent="0.35">
      <c r="B35" s="9"/>
      <c r="E35" s="9"/>
    </row>
    <row r="36" spans="1:10" x14ac:dyDescent="0.35">
      <c r="A36" t="s">
        <v>34</v>
      </c>
      <c r="B36" s="9"/>
      <c r="D36" s="2"/>
      <c r="G36" s="13"/>
    </row>
    <row r="37" spans="1:10" x14ac:dyDescent="0.35">
      <c r="A37" t="s">
        <v>26</v>
      </c>
      <c r="B37" s="9"/>
      <c r="D37" s="2"/>
    </row>
    <row r="38" spans="1:10" x14ac:dyDescent="0.35">
      <c r="A38" t="s">
        <v>25</v>
      </c>
      <c r="B38" s="9"/>
      <c r="D38" s="2"/>
    </row>
    <row r="39" spans="1:10" x14ac:dyDescent="0.35">
      <c r="A39" s="12"/>
      <c r="B39" s="1"/>
      <c r="D39" s="1"/>
      <c r="E39" s="11"/>
    </row>
    <row r="40" spans="1:10" x14ac:dyDescent="0.35">
      <c r="A40" s="11" t="s">
        <v>94</v>
      </c>
      <c r="B40" s="4" t="s">
        <v>1</v>
      </c>
      <c r="C40" s="10">
        <f>(2^$C$10-1)/$C$9</f>
        <v>204.6</v>
      </c>
      <c r="D40" t="s">
        <v>126</v>
      </c>
      <c r="G40" s="13" t="s">
        <v>7</v>
      </c>
    </row>
    <row r="41" spans="1:10" x14ac:dyDescent="0.35">
      <c r="A41" s="8"/>
      <c r="B41" s="4" t="s">
        <v>2</v>
      </c>
      <c r="C41" s="10">
        <f>(2^$C$10-1)*1.01/$C$9</f>
        <v>206.64600000000002</v>
      </c>
      <c r="D41" t="s">
        <v>127</v>
      </c>
      <c r="G41" s="13" t="s">
        <v>105</v>
      </c>
    </row>
    <row r="42" spans="1:10" x14ac:dyDescent="0.35">
      <c r="A42" s="8"/>
      <c r="B42" s="4" t="s">
        <v>0</v>
      </c>
      <c r="C42" s="10">
        <f>((C41-C40)/C40)/0.01</f>
        <v>1.00000000000001</v>
      </c>
      <c r="D42" s="2" t="s">
        <v>32</v>
      </c>
      <c r="G42" t="s">
        <v>8</v>
      </c>
    </row>
    <row r="44" spans="1:10" x14ac:dyDescent="0.35">
      <c r="A44" s="11" t="s">
        <v>99</v>
      </c>
      <c r="B44" s="4" t="s">
        <v>1</v>
      </c>
      <c r="C44" s="10">
        <f>(2^$C$10-1)/$C$9</f>
        <v>204.6</v>
      </c>
      <c r="D44" t="s">
        <v>103</v>
      </c>
    </row>
    <row r="45" spans="1:10" x14ac:dyDescent="0.35">
      <c r="A45" s="8"/>
      <c r="B45" s="4" t="s">
        <v>2</v>
      </c>
      <c r="C45" s="10">
        <f>(2^$C$10-1)/($C$9*1.01)</f>
        <v>202.57425742574259</v>
      </c>
      <c r="D45" t="s">
        <v>104</v>
      </c>
    </row>
    <row r="46" spans="1:10" x14ac:dyDescent="0.35">
      <c r="A46" s="8"/>
      <c r="B46" s="4" t="s">
        <v>0</v>
      </c>
      <c r="C46" s="10">
        <f>((C45-C44)/C44)/0.01</f>
        <v>-0.9900990099009811</v>
      </c>
      <c r="D46" s="2" t="s">
        <v>32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36"/>
  <sheetViews>
    <sheetView zoomScale="70" zoomScaleNormal="70" workbookViewId="0">
      <selection activeCell="D17" sqref="D17"/>
    </sheetView>
  </sheetViews>
  <sheetFormatPr defaultRowHeight="14.5" x14ac:dyDescent="0.35"/>
  <cols>
    <col min="1" max="1" width="16.1796875" customWidth="1"/>
    <col min="2" max="2" width="14.7265625" customWidth="1"/>
    <col min="3" max="3" width="12.453125" customWidth="1"/>
    <col min="4" max="4" width="11.54296875" customWidth="1"/>
    <col min="5" max="5" width="11.1796875" customWidth="1"/>
    <col min="6" max="6" width="10.1796875" customWidth="1"/>
    <col min="7" max="7" width="13.5429687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2" t="s">
        <v>76</v>
      </c>
      <c r="F1" s="1"/>
      <c r="G1" s="1"/>
      <c r="H1" s="1"/>
    </row>
    <row r="2" spans="1:13" ht="18.5" x14ac:dyDescent="0.45">
      <c r="A2" s="43"/>
      <c r="E2" s="3"/>
      <c r="F2" s="2" t="s">
        <v>13</v>
      </c>
      <c r="G2" s="2"/>
      <c r="H2" s="2"/>
    </row>
    <row r="3" spans="1:13" x14ac:dyDescent="0.35">
      <c r="E3" s="4"/>
      <c r="F3" s="2" t="s">
        <v>14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21</v>
      </c>
      <c r="G7" s="1"/>
      <c r="H7" s="1"/>
      <c r="I7" s="1"/>
      <c r="J7" s="1"/>
    </row>
    <row r="8" spans="1:13" x14ac:dyDescent="0.35">
      <c r="C8" s="37" t="s">
        <v>78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0" t="s">
        <v>73</v>
      </c>
      <c r="C11" t="s">
        <v>51</v>
      </c>
      <c r="D11" s="10"/>
      <c r="E11" s="10"/>
      <c r="F11" s="1" t="s">
        <v>72</v>
      </c>
    </row>
    <row r="12" spans="1:13" x14ac:dyDescent="0.35">
      <c r="A12" s="31" t="s">
        <v>16</v>
      </c>
      <c r="B12" s="39" t="s">
        <v>52</v>
      </c>
      <c r="C12" s="4" t="s">
        <v>18</v>
      </c>
      <c r="D12" s="4" t="s">
        <v>27</v>
      </c>
      <c r="E12" s="40" t="s">
        <v>19</v>
      </c>
      <c r="F12" s="4" t="s">
        <v>22</v>
      </c>
      <c r="G12" s="40" t="s">
        <v>24</v>
      </c>
    </row>
    <row r="13" spans="1:13" x14ac:dyDescent="0.35">
      <c r="A13" s="2" t="s">
        <v>74</v>
      </c>
      <c r="B13" s="47">
        <v>0.25</v>
      </c>
      <c r="C13" s="6">
        <f>M26</f>
        <v>7.331378299120235E-2</v>
      </c>
      <c r="D13" s="6">
        <f>M35</f>
        <v>6.591796875E-2</v>
      </c>
      <c r="E13" s="47">
        <f>C13+D13</f>
        <v>0.13923175174120234</v>
      </c>
      <c r="F13" s="16">
        <f>(B13-E13)/B13*100</f>
        <v>44.307299303519066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48" t="s">
        <v>10</v>
      </c>
      <c r="B21" s="31"/>
      <c r="C21" s="34"/>
      <c r="D21" s="35" t="s">
        <v>39</v>
      </c>
      <c r="E21" s="35" t="s">
        <v>40</v>
      </c>
      <c r="F21" s="35"/>
      <c r="G21" s="35" t="s">
        <v>60</v>
      </c>
      <c r="H21" s="35" t="s">
        <v>38</v>
      </c>
      <c r="I21" s="38" t="s">
        <v>65</v>
      </c>
      <c r="J21" s="35" t="s">
        <v>62</v>
      </c>
      <c r="K21" s="38" t="s">
        <v>45</v>
      </c>
      <c r="M21" s="30" t="s">
        <v>80</v>
      </c>
      <c r="N21" s="30" t="s">
        <v>79</v>
      </c>
    </row>
    <row r="22" spans="1:14" ht="29" x14ac:dyDescent="0.35">
      <c r="A22" s="22" t="s">
        <v>31</v>
      </c>
      <c r="B22" s="22" t="s">
        <v>46</v>
      </c>
      <c r="C22" s="22" t="s">
        <v>56</v>
      </c>
      <c r="D22" s="29" t="s">
        <v>15</v>
      </c>
      <c r="E22" s="29" t="s">
        <v>15</v>
      </c>
      <c r="F22" s="22" t="s">
        <v>9</v>
      </c>
      <c r="G22" s="29" t="s">
        <v>61</v>
      </c>
      <c r="H22" s="23" t="s">
        <v>0</v>
      </c>
      <c r="I22" s="45" t="s">
        <v>67</v>
      </c>
      <c r="J22" s="24" t="s">
        <v>63</v>
      </c>
      <c r="K22" s="45" t="s">
        <v>64</v>
      </c>
      <c r="M22" s="24" t="s">
        <v>47</v>
      </c>
      <c r="N22" s="24" t="s">
        <v>48</v>
      </c>
    </row>
    <row r="23" spans="1:14" x14ac:dyDescent="0.35">
      <c r="A23" s="1" t="s">
        <v>83</v>
      </c>
      <c r="B23" s="1" t="s">
        <v>50</v>
      </c>
      <c r="C23" s="1" t="s">
        <v>96</v>
      </c>
      <c r="D23" s="1" t="s">
        <v>57</v>
      </c>
      <c r="E23" s="18">
        <f>3/'ADC Calc'!$C$17</f>
        <v>1.466275659824047E-2</v>
      </c>
      <c r="F23" s="21" t="s">
        <v>3</v>
      </c>
      <c r="G23" s="14" t="s">
        <v>95</v>
      </c>
      <c r="H23" s="10">
        <f>'ADC Calc'!$C$27</f>
        <v>1</v>
      </c>
      <c r="I23" s="14">
        <f>E23*H23</f>
        <v>1.466275659824047E-2</v>
      </c>
      <c r="J23" s="10">
        <f>'R-Divider Calc'!$C$10</f>
        <v>0.2</v>
      </c>
      <c r="K23" s="27">
        <f>I23*1/J23</f>
        <v>7.331378299120235E-2</v>
      </c>
      <c r="L23" s="2" t="s">
        <v>3</v>
      </c>
      <c r="M23" s="27">
        <f>ABS(K23)</f>
        <v>7.331378299120235E-2</v>
      </c>
      <c r="N23" s="17">
        <f>K23^2</f>
        <v>5.3749107764811113E-3</v>
      </c>
    </row>
    <row r="24" spans="1:14" x14ac:dyDescent="0.35">
      <c r="B24" s="1" t="s">
        <v>20</v>
      </c>
      <c r="E24" s="17"/>
      <c r="F24" s="1"/>
      <c r="G24" s="14"/>
      <c r="H24" s="16"/>
      <c r="I24" s="18"/>
      <c r="J24" s="10"/>
      <c r="K24" s="27"/>
    </row>
    <row r="25" spans="1:14" x14ac:dyDescent="0.35">
      <c r="G25" s="1"/>
      <c r="I25" s="1"/>
      <c r="J25" s="10"/>
      <c r="K25" s="20"/>
      <c r="L25" s="2"/>
      <c r="M25" s="38" t="s">
        <v>54</v>
      </c>
      <c r="N25" s="32" t="s">
        <v>55</v>
      </c>
    </row>
    <row r="26" spans="1:14" x14ac:dyDescent="0.35">
      <c r="G26" s="1"/>
      <c r="I26" s="1"/>
      <c r="J26" s="1"/>
      <c r="K26" s="20"/>
      <c r="L26" s="2"/>
      <c r="M26" s="27">
        <f>SUM(M23:M24)</f>
        <v>7.331378299120235E-2</v>
      </c>
      <c r="N26" s="27">
        <f>SQRT(SUM(N23:N24))</f>
        <v>7.331378299120235E-2</v>
      </c>
    </row>
    <row r="27" spans="1:14" x14ac:dyDescent="0.35">
      <c r="G27" s="1"/>
      <c r="I27" s="1"/>
      <c r="J27" s="1"/>
      <c r="K27" s="20"/>
      <c r="L27" s="26"/>
    </row>
    <row r="28" spans="1:14" ht="29" x14ac:dyDescent="0.35">
      <c r="A28" s="9" t="s">
        <v>49</v>
      </c>
      <c r="B28" s="7"/>
      <c r="C28" s="7"/>
      <c r="D28" s="35" t="s">
        <v>39</v>
      </c>
      <c r="E28" s="35" t="s">
        <v>40</v>
      </c>
      <c r="G28" s="35" t="s">
        <v>60</v>
      </c>
      <c r="H28" s="35" t="s">
        <v>38</v>
      </c>
      <c r="I28" s="35" t="s">
        <v>65</v>
      </c>
      <c r="J28" s="35" t="s">
        <v>62</v>
      </c>
      <c r="K28" s="38" t="s">
        <v>45</v>
      </c>
      <c r="L28" s="26"/>
      <c r="M28" s="1"/>
      <c r="N28" s="30"/>
    </row>
    <row r="29" spans="1:14" ht="29" x14ac:dyDescent="0.35">
      <c r="A29" s="22" t="s">
        <v>29</v>
      </c>
      <c r="B29" s="22" t="s">
        <v>46</v>
      </c>
      <c r="C29" s="22" t="s">
        <v>56</v>
      </c>
      <c r="D29" s="29" t="s">
        <v>15</v>
      </c>
      <c r="E29" s="29" t="s">
        <v>15</v>
      </c>
      <c r="F29" s="22" t="s">
        <v>9</v>
      </c>
      <c r="G29" s="29" t="s">
        <v>61</v>
      </c>
      <c r="H29" s="23" t="s">
        <v>0</v>
      </c>
      <c r="I29" s="45" t="s">
        <v>66</v>
      </c>
      <c r="J29" s="24" t="s">
        <v>63</v>
      </c>
      <c r="K29" s="45" t="s">
        <v>64</v>
      </c>
      <c r="L29" s="33"/>
      <c r="M29" s="24" t="s">
        <v>47</v>
      </c>
      <c r="N29" s="24" t="s">
        <v>48</v>
      </c>
    </row>
    <row r="30" spans="1:14" x14ac:dyDescent="0.35">
      <c r="A30" s="1" t="s">
        <v>83</v>
      </c>
      <c r="B30" s="1" t="s">
        <v>119</v>
      </c>
      <c r="C30" s="1" t="s">
        <v>96</v>
      </c>
      <c r="D30" s="1" t="s">
        <v>97</v>
      </c>
      <c r="E30" s="17">
        <f>0.04*'ADC Calc'!$C$13</f>
        <v>1.9531250000000001E-4</v>
      </c>
      <c r="F30" s="21" t="s">
        <v>12</v>
      </c>
      <c r="G30" s="14" t="s">
        <v>95</v>
      </c>
      <c r="H30" s="10">
        <f>'ADC Calc'!$C$27</f>
        <v>1</v>
      </c>
      <c r="I30" s="14">
        <f>E30*$C$9*H30</f>
        <v>5.859375E-3</v>
      </c>
      <c r="J30" s="10">
        <f>'R-Divider Calc'!$C$10</f>
        <v>0.2</v>
      </c>
      <c r="K30" s="27">
        <f t="shared" ref="K30:K32" si="0">I30*1/J30</f>
        <v>2.9296875E-2</v>
      </c>
      <c r="L30" s="2" t="s">
        <v>3</v>
      </c>
      <c r="M30" s="27">
        <f t="shared" ref="M30:M32" si="1">ABS(K30)</f>
        <v>2.9296875E-2</v>
      </c>
      <c r="N30" s="17">
        <f t="shared" ref="N30:N32" si="2">K30^2</f>
        <v>8.58306884765625E-4</v>
      </c>
    </row>
    <row r="31" spans="1:14" x14ac:dyDescent="0.35">
      <c r="A31" s="1" t="s">
        <v>30</v>
      </c>
      <c r="B31" s="1" t="s">
        <v>120</v>
      </c>
      <c r="C31" s="1" t="s">
        <v>96</v>
      </c>
      <c r="D31" s="1" t="s">
        <v>106</v>
      </c>
      <c r="E31" s="18">
        <f>0.5*'ADC Calc'!$C$13</f>
        <v>2.44140625E-3</v>
      </c>
      <c r="F31" s="21" t="s">
        <v>3</v>
      </c>
      <c r="G31" s="14" t="s">
        <v>95</v>
      </c>
      <c r="H31" s="10">
        <f>'ADC Calc'!$C$27</f>
        <v>1</v>
      </c>
      <c r="I31" s="14">
        <f>E31*H31</f>
        <v>2.44140625E-3</v>
      </c>
      <c r="J31" s="10">
        <f>'R-Divider Calc'!$C$10</f>
        <v>0.2</v>
      </c>
      <c r="K31" s="27">
        <f t="shared" si="0"/>
        <v>1.220703125E-2</v>
      </c>
      <c r="L31" s="2" t="s">
        <v>3</v>
      </c>
      <c r="M31" s="27">
        <f t="shared" si="1"/>
        <v>1.220703125E-2</v>
      </c>
      <c r="N31" s="17">
        <f t="shared" si="2"/>
        <v>1.4901161193847656E-4</v>
      </c>
    </row>
    <row r="32" spans="1:14" x14ac:dyDescent="0.35">
      <c r="A32" s="1" t="s">
        <v>30</v>
      </c>
      <c r="B32" s="1" t="s">
        <v>121</v>
      </c>
      <c r="C32" s="1" t="s">
        <v>96</v>
      </c>
      <c r="D32" s="1" t="s">
        <v>107</v>
      </c>
      <c r="E32" s="18">
        <f>1*'ADC Calc'!$C$13</f>
        <v>4.8828125E-3</v>
      </c>
      <c r="F32" s="21" t="s">
        <v>3</v>
      </c>
      <c r="G32" s="14" t="s">
        <v>95</v>
      </c>
      <c r="H32" s="10">
        <f>'ADC Calc'!$C$27</f>
        <v>1</v>
      </c>
      <c r="I32" s="14">
        <f>E32*H32</f>
        <v>4.8828125E-3</v>
      </c>
      <c r="J32" s="10">
        <f>'R-Divider Calc'!$C$10</f>
        <v>0.2</v>
      </c>
      <c r="K32" s="27">
        <f t="shared" si="0"/>
        <v>2.44140625E-2</v>
      </c>
      <c r="L32" s="2" t="s">
        <v>3</v>
      </c>
      <c r="M32" s="27">
        <f t="shared" si="1"/>
        <v>2.44140625E-2</v>
      </c>
      <c r="N32" s="17">
        <f t="shared" si="2"/>
        <v>5.9604644775390625E-4</v>
      </c>
    </row>
    <row r="33" spans="2:14" x14ac:dyDescent="0.35">
      <c r="B33" s="1" t="s">
        <v>20</v>
      </c>
      <c r="C33" s="1"/>
    </row>
    <row r="34" spans="2:14" x14ac:dyDescent="0.35">
      <c r="C34" s="1"/>
      <c r="G34" s="1"/>
      <c r="H34" s="1"/>
      <c r="I34" s="1"/>
      <c r="J34" s="28"/>
      <c r="K34" s="2"/>
      <c r="M34" s="38" t="s">
        <v>54</v>
      </c>
      <c r="N34" s="32" t="s">
        <v>55</v>
      </c>
    </row>
    <row r="35" spans="2:14" x14ac:dyDescent="0.35">
      <c r="G35" s="1"/>
      <c r="H35" s="1"/>
      <c r="I35" s="1"/>
      <c r="J35" s="28"/>
      <c r="K35" s="2"/>
      <c r="M35" s="27">
        <f>SUM(M30:M33)</f>
        <v>6.591796875E-2</v>
      </c>
      <c r="N35" s="27">
        <f>SQRT(SUM(N30:N33))</f>
        <v>4.0042039714005676E-2</v>
      </c>
    </row>
    <row r="36" spans="2:14" x14ac:dyDescent="0.35">
      <c r="G36" s="1"/>
      <c r="H36" s="1"/>
      <c r="I36" s="1"/>
      <c r="J36" s="28"/>
      <c r="K36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8"/>
  <sheetViews>
    <sheetView zoomScale="70" zoomScaleNormal="70" workbookViewId="0">
      <selection activeCell="F28" sqref="F28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7265625" customWidth="1"/>
    <col min="14" max="14" width="13.26953125" customWidth="1"/>
  </cols>
  <sheetData>
    <row r="1" spans="1:13" ht="21" x14ac:dyDescent="0.5">
      <c r="A1" s="42" t="s">
        <v>77</v>
      </c>
      <c r="F1" s="1"/>
      <c r="G1" s="1"/>
      <c r="H1" s="1"/>
    </row>
    <row r="2" spans="1:13" x14ac:dyDescent="0.35">
      <c r="E2" s="3"/>
      <c r="F2" s="2" t="s">
        <v>13</v>
      </c>
      <c r="G2" s="2"/>
      <c r="H2" s="2"/>
    </row>
    <row r="3" spans="1:13" x14ac:dyDescent="0.35">
      <c r="E3" s="4"/>
      <c r="F3" s="2" t="s">
        <v>14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21</v>
      </c>
      <c r="G7" s="1"/>
      <c r="H7" s="1"/>
      <c r="I7" s="1"/>
      <c r="J7" s="1"/>
    </row>
    <row r="8" spans="1:13" x14ac:dyDescent="0.35">
      <c r="C8" s="37" t="s">
        <v>78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0" t="s">
        <v>73</v>
      </c>
      <c r="C11" t="s">
        <v>23</v>
      </c>
      <c r="D11" s="10"/>
      <c r="E11" s="10"/>
      <c r="F11" s="1" t="s">
        <v>72</v>
      </c>
    </row>
    <row r="12" spans="1:13" x14ac:dyDescent="0.35">
      <c r="A12" s="7" t="s">
        <v>17</v>
      </c>
      <c r="B12" s="3" t="s">
        <v>53</v>
      </c>
      <c r="C12" s="4" t="s">
        <v>18</v>
      </c>
      <c r="D12" s="4" t="s">
        <v>27</v>
      </c>
      <c r="E12" s="40" t="s">
        <v>19</v>
      </c>
      <c r="F12" s="4" t="s">
        <v>22</v>
      </c>
      <c r="G12" s="44" t="s">
        <v>24</v>
      </c>
    </row>
    <row r="13" spans="1:13" x14ac:dyDescent="0.35">
      <c r="B13" s="10">
        <v>1</v>
      </c>
      <c r="C13" s="25">
        <f>M29</f>
        <v>0.45352779971645729</v>
      </c>
      <c r="D13" s="25">
        <f>M38</f>
        <v>0.86050604766422134</v>
      </c>
      <c r="E13" s="25">
        <f>C13+D13</f>
        <v>1.3140338473806787</v>
      </c>
      <c r="F13" s="16">
        <f>(B13-E13)/B13*100</f>
        <v>-31.403384738067874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8"/>
      <c r="J17" s="26"/>
    </row>
    <row r="19" spans="1:15" x14ac:dyDescent="0.35">
      <c r="A19" s="15" t="s">
        <v>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71</v>
      </c>
    </row>
    <row r="21" spans="1:15" ht="29" x14ac:dyDescent="0.35">
      <c r="A21" s="7" t="s">
        <v>10</v>
      </c>
      <c r="B21" s="7"/>
      <c r="C21" s="7"/>
      <c r="D21" s="35" t="s">
        <v>39</v>
      </c>
      <c r="E21" s="35" t="s">
        <v>40</v>
      </c>
      <c r="G21" s="35" t="s">
        <v>60</v>
      </c>
      <c r="H21" s="35" t="s">
        <v>28</v>
      </c>
      <c r="I21" s="35" t="s">
        <v>70</v>
      </c>
      <c r="M21" s="30" t="s">
        <v>80</v>
      </c>
      <c r="N21" s="30" t="s">
        <v>79</v>
      </c>
    </row>
    <row r="22" spans="1:15" ht="29" x14ac:dyDescent="0.35">
      <c r="A22" s="22" t="s">
        <v>29</v>
      </c>
      <c r="B22" s="22" t="s">
        <v>46</v>
      </c>
      <c r="C22" s="22" t="s">
        <v>56</v>
      </c>
      <c r="D22" s="29" t="s">
        <v>15</v>
      </c>
      <c r="E22" s="29" t="s">
        <v>15</v>
      </c>
      <c r="F22" s="22" t="s">
        <v>9</v>
      </c>
      <c r="G22" s="29" t="s">
        <v>61</v>
      </c>
      <c r="H22" s="23" t="s">
        <v>0</v>
      </c>
      <c r="I22" s="41" t="s">
        <v>69</v>
      </c>
      <c r="J22" s="36"/>
      <c r="K22" s="33"/>
      <c r="L22" s="33"/>
      <c r="M22" s="24" t="s">
        <v>41</v>
      </c>
      <c r="N22" s="24" t="s">
        <v>42</v>
      </c>
    </row>
    <row r="23" spans="1:15" x14ac:dyDescent="0.35">
      <c r="A23" s="1" t="s">
        <v>148</v>
      </c>
      <c r="B23" s="1" t="s">
        <v>149</v>
      </c>
      <c r="C23" s="1" t="s">
        <v>151</v>
      </c>
      <c r="D23" s="1" t="s">
        <v>152</v>
      </c>
      <c r="E23" s="1">
        <v>0.1</v>
      </c>
      <c r="F23" s="21" t="s">
        <v>6</v>
      </c>
      <c r="G23" s="14" t="s">
        <v>95</v>
      </c>
      <c r="H23" s="10">
        <f>'R-Divider Calc'!$C$27</f>
        <v>-0.79365079365080471</v>
      </c>
      <c r="I23" s="25">
        <f>E23*H23</f>
        <v>-7.9365079365080471E-2</v>
      </c>
      <c r="J23" s="14"/>
      <c r="L23" s="2"/>
      <c r="M23" s="6">
        <f>ABS(I23)</f>
        <v>7.9365079365080471E-2</v>
      </c>
      <c r="N23" s="17">
        <f>I23^2</f>
        <v>6.2988158226255217E-3</v>
      </c>
      <c r="O23" s="2" t="s">
        <v>6</v>
      </c>
    </row>
    <row r="24" spans="1:15" x14ac:dyDescent="0.35">
      <c r="A24" s="1" t="s">
        <v>30</v>
      </c>
      <c r="B24" s="1" t="s">
        <v>150</v>
      </c>
      <c r="C24" s="1" t="s">
        <v>151</v>
      </c>
      <c r="D24" s="1" t="s">
        <v>152</v>
      </c>
      <c r="E24" s="1">
        <v>0.1</v>
      </c>
      <c r="F24" s="21" t="s">
        <v>6</v>
      </c>
      <c r="G24" s="14" t="s">
        <v>95</v>
      </c>
      <c r="H24" s="10">
        <f>'R-Divider Calc'!$C$31</f>
        <v>0.79840319361276779</v>
      </c>
      <c r="I24" s="25">
        <f>E24*H24</f>
        <v>7.9840319361276779E-2</v>
      </c>
      <c r="J24" s="14"/>
      <c r="L24" s="2"/>
      <c r="M24" s="6">
        <f>ABS(I24)</f>
        <v>7.9840319361276779E-2</v>
      </c>
      <c r="N24" s="17">
        <f>I24^2</f>
        <v>6.3744765957106679E-3</v>
      </c>
      <c r="O24" s="2" t="s">
        <v>6</v>
      </c>
    </row>
    <row r="25" spans="1:15" x14ac:dyDescent="0.35">
      <c r="A25" s="1" t="s">
        <v>83</v>
      </c>
      <c r="B25" s="1" t="s">
        <v>122</v>
      </c>
      <c r="C25" s="1" t="s">
        <v>96</v>
      </c>
      <c r="D25" s="1" t="s">
        <v>98</v>
      </c>
      <c r="E25" s="25">
        <f>2/2^'ADC Calc'!$C$10*100</f>
        <v>0.1953125</v>
      </c>
      <c r="F25" s="21" t="s">
        <v>6</v>
      </c>
      <c r="G25" s="14" t="s">
        <v>95</v>
      </c>
      <c r="H25" s="10">
        <f>'ADC Calc'!$C$42</f>
        <v>1.00000000000001</v>
      </c>
      <c r="I25" s="25">
        <f>E25*H25</f>
        <v>0.19531250000000194</v>
      </c>
      <c r="J25" s="14"/>
      <c r="L25" s="2"/>
      <c r="M25" s="6">
        <f>ABS(I25)</f>
        <v>0.19531250000000194</v>
      </c>
      <c r="N25" s="17">
        <f>I25^2</f>
        <v>3.8146972656250756E-2</v>
      </c>
      <c r="O25" s="2" t="s">
        <v>6</v>
      </c>
    </row>
    <row r="26" spans="1:15" x14ac:dyDescent="0.35">
      <c r="A26" s="1" t="s">
        <v>30</v>
      </c>
      <c r="B26" s="1" t="s">
        <v>123</v>
      </c>
      <c r="C26" s="1" t="s">
        <v>96</v>
      </c>
      <c r="D26" s="1" t="s">
        <v>99</v>
      </c>
      <c r="E26" s="1">
        <v>0.1</v>
      </c>
      <c r="F26" s="21" t="s">
        <v>6</v>
      </c>
      <c r="G26" s="14" t="s">
        <v>95</v>
      </c>
      <c r="H26" s="10">
        <f>'ADC Calc'!$C$46</f>
        <v>-0.9900990099009811</v>
      </c>
      <c r="I26" s="25">
        <f>E26*H26</f>
        <v>-9.9009900990098113E-2</v>
      </c>
      <c r="J26" s="14"/>
      <c r="L26" s="2"/>
      <c r="M26" s="6">
        <f>ABS(I26)</f>
        <v>9.9009900990098113E-2</v>
      </c>
      <c r="N26" s="17">
        <f>I26^2</f>
        <v>9.8029604940690317E-3</v>
      </c>
      <c r="O26" s="2" t="s">
        <v>6</v>
      </c>
    </row>
    <row r="27" spans="1:15" x14ac:dyDescent="0.35">
      <c r="B27" s="1" t="s">
        <v>20</v>
      </c>
      <c r="G27" s="1"/>
      <c r="J27" s="1"/>
    </row>
    <row r="28" spans="1:15" x14ac:dyDescent="0.35">
      <c r="M28" s="38" t="s">
        <v>54</v>
      </c>
      <c r="N28" s="32" t="s">
        <v>55</v>
      </c>
    </row>
    <row r="29" spans="1:15" x14ac:dyDescent="0.35">
      <c r="M29" s="6">
        <f>SUM(M23:M27)</f>
        <v>0.45352779971645729</v>
      </c>
      <c r="N29" s="6">
        <f>SQRT(SUM(N25:N27))</f>
        <v>0.21897473176218252</v>
      </c>
    </row>
    <row r="30" spans="1:15" ht="29" x14ac:dyDescent="0.35">
      <c r="A30" s="7" t="s">
        <v>49</v>
      </c>
      <c r="B30" s="7"/>
      <c r="C30" s="7"/>
      <c r="D30" s="35" t="s">
        <v>39</v>
      </c>
      <c r="E30" s="35" t="s">
        <v>40</v>
      </c>
      <c r="G30" s="35" t="s">
        <v>60</v>
      </c>
      <c r="H30" s="35" t="s">
        <v>28</v>
      </c>
      <c r="I30" s="35" t="s">
        <v>70</v>
      </c>
      <c r="M30" s="30"/>
      <c r="N30" s="30"/>
    </row>
    <row r="31" spans="1:15" ht="29" x14ac:dyDescent="0.35">
      <c r="A31" s="22" t="s">
        <v>29</v>
      </c>
      <c r="B31" s="22" t="s">
        <v>46</v>
      </c>
      <c r="C31" s="22" t="s">
        <v>56</v>
      </c>
      <c r="D31" s="22" t="s">
        <v>15</v>
      </c>
      <c r="E31" s="22" t="s">
        <v>15</v>
      </c>
      <c r="F31" s="22" t="s">
        <v>9</v>
      </c>
      <c r="G31" s="29" t="s">
        <v>61</v>
      </c>
      <c r="H31" s="23" t="s">
        <v>0</v>
      </c>
      <c r="I31" s="41" t="s">
        <v>68</v>
      </c>
      <c r="J31" s="33"/>
      <c r="K31" s="33"/>
      <c r="L31" s="33"/>
      <c r="M31" s="24" t="s">
        <v>41</v>
      </c>
      <c r="N31" s="24" t="s">
        <v>42</v>
      </c>
    </row>
    <row r="32" spans="1:15" x14ac:dyDescent="0.35">
      <c r="A32" s="1" t="s">
        <v>148</v>
      </c>
      <c r="B32" s="1" t="s">
        <v>153</v>
      </c>
      <c r="C32" s="1" t="s">
        <v>151</v>
      </c>
      <c r="D32" s="1" t="s">
        <v>152</v>
      </c>
      <c r="E32" s="16">
        <v>100</v>
      </c>
      <c r="F32" s="21" t="s">
        <v>11</v>
      </c>
      <c r="G32" s="14" t="s">
        <v>95</v>
      </c>
      <c r="H32" s="10">
        <f>'R-Divider Calc'!$C$27</f>
        <v>-0.79365079365080471</v>
      </c>
      <c r="I32" s="25">
        <f>E32/1000000*$C$9*H32*100</f>
        <v>-0.23809523809524141</v>
      </c>
      <c r="J32" s="14"/>
      <c r="L32" s="2"/>
      <c r="M32" s="6">
        <f>ABS(I32)</f>
        <v>0.23809523809524141</v>
      </c>
      <c r="N32" s="17">
        <f>I32^2</f>
        <v>5.6689342403629696E-2</v>
      </c>
      <c r="O32" s="2" t="s">
        <v>6</v>
      </c>
    </row>
    <row r="33" spans="1:15" x14ac:dyDescent="0.35">
      <c r="A33" s="1" t="s">
        <v>148</v>
      </c>
      <c r="B33" s="1" t="s">
        <v>154</v>
      </c>
      <c r="C33" s="1" t="s">
        <v>151</v>
      </c>
      <c r="D33" s="1" t="s">
        <v>152</v>
      </c>
      <c r="E33" s="16">
        <v>100</v>
      </c>
      <c r="F33" s="21" t="s">
        <v>11</v>
      </c>
      <c r="G33" s="14" t="s">
        <v>95</v>
      </c>
      <c r="H33" s="10">
        <f>'R-Divider Calc'!$C$31</f>
        <v>0.79840319361276779</v>
      </c>
      <c r="I33" s="25">
        <f>E33/1000000*$C$9*H33*100</f>
        <v>0.23952095808383034</v>
      </c>
      <c r="J33" s="14"/>
      <c r="L33" s="2"/>
      <c r="M33" s="6">
        <f>ABS(I33)</f>
        <v>0.23952095808383034</v>
      </c>
      <c r="N33" s="17">
        <f>I33^2</f>
        <v>5.7370289361396008E-2</v>
      </c>
      <c r="O33" s="2" t="s">
        <v>6</v>
      </c>
    </row>
    <row r="34" spans="1:15" x14ac:dyDescent="0.35">
      <c r="A34" s="1" t="s">
        <v>83</v>
      </c>
      <c r="B34" s="1" t="s">
        <v>124</v>
      </c>
      <c r="C34" s="1" t="s">
        <v>96</v>
      </c>
      <c r="D34" s="1" t="s">
        <v>100</v>
      </c>
      <c r="E34" s="16">
        <f>0.08/2^'ADC Calc'!$C$10*1000000</f>
        <v>78.125</v>
      </c>
      <c r="F34" s="21" t="s">
        <v>11</v>
      </c>
      <c r="G34" s="14" t="s">
        <v>95</v>
      </c>
      <c r="H34" s="10">
        <f>'ADC Calc'!$C$42</f>
        <v>1.00000000000001</v>
      </c>
      <c r="I34" s="25">
        <f>E34/1000000*$C$9*H34*100</f>
        <v>0.23437500000000233</v>
      </c>
      <c r="J34" s="14"/>
      <c r="L34" s="2"/>
      <c r="M34" s="6">
        <f>ABS(I34)</f>
        <v>0.23437500000000233</v>
      </c>
      <c r="N34" s="17">
        <f>I34^2</f>
        <v>5.4931640625001096E-2</v>
      </c>
      <c r="O34" s="2" t="s">
        <v>6</v>
      </c>
    </row>
    <row r="35" spans="1:15" x14ac:dyDescent="0.35">
      <c r="A35" s="1" t="s">
        <v>30</v>
      </c>
      <c r="B35" s="1" t="s">
        <v>125</v>
      </c>
      <c r="C35" s="1" t="s">
        <v>96</v>
      </c>
      <c r="D35" s="1" t="s">
        <v>101</v>
      </c>
      <c r="E35" s="1">
        <v>50</v>
      </c>
      <c r="F35" s="21" t="s">
        <v>11</v>
      </c>
      <c r="G35" s="14" t="s">
        <v>95</v>
      </c>
      <c r="H35" s="10">
        <f>'ADC Calc'!$C$46</f>
        <v>-0.9900990099009811</v>
      </c>
      <c r="I35" s="25">
        <f>E35/1000000*$C$9*H35*100</f>
        <v>-0.14851485148514718</v>
      </c>
      <c r="J35" s="14"/>
      <c r="M35" s="6">
        <f>ABS(I35)</f>
        <v>0.14851485148514718</v>
      </c>
      <c r="N35" s="17">
        <f>I35^2</f>
        <v>2.2056661111655322E-2</v>
      </c>
      <c r="O35" s="2" t="s">
        <v>6</v>
      </c>
    </row>
    <row r="36" spans="1:15" x14ac:dyDescent="0.35">
      <c r="B36" s="1" t="s">
        <v>20</v>
      </c>
      <c r="E36" s="1"/>
    </row>
    <row r="37" spans="1:15" x14ac:dyDescent="0.35">
      <c r="G37" s="1"/>
      <c r="H37" s="1"/>
      <c r="I37" s="1"/>
      <c r="M37" s="38" t="s">
        <v>54</v>
      </c>
      <c r="N37" s="32" t="s">
        <v>55</v>
      </c>
    </row>
    <row r="38" spans="1:15" x14ac:dyDescent="0.35">
      <c r="G38" s="1"/>
      <c r="H38" s="1"/>
      <c r="I38" s="1"/>
      <c r="M38" s="6">
        <f>SUM(M32:M36)</f>
        <v>0.86050604766422134</v>
      </c>
      <c r="N38" s="6">
        <f>SQRT(SUM(N34:N36))</f>
        <v>0.27746765890217984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R-Divider Calc</vt:lpstr>
      <vt:lpstr>ADC 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2025-06-06T15:48:31Z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