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Documents\Documents Rick\EE fun\Design Tools\Excel\analog circuit toolkit\"/>
    </mc:Choice>
  </mc:AlternateContent>
  <xr:revisionPtr revIDLastSave="0" documentId="13_ncr:1_{00DDE5C9-8B25-4F56-8525-834224BD86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olkit Overview" sheetId="3" r:id="rId1"/>
    <sheet name="R Parallel" sheetId="1" r:id="rId2"/>
    <sheet name="R Divider" sheetId="2" r:id="rId3"/>
    <sheet name="Ratio,%,ppm,bits,dB" sheetId="34" r:id="rId4"/>
    <sheet name="LP Filter" sheetId="5" r:id="rId5"/>
    <sheet name="LP Filter (f)" sheetId="32" r:id="rId6"/>
    <sheet name="Amp Non-Inv" sheetId="13" r:id="rId7"/>
    <sheet name="Amp Invert" sheetId="29" r:id="rId8"/>
    <sheet name="Gain-Bandwidth" sheetId="33" r:id="rId9"/>
    <sheet name="Slew Rate" sheetId="31" r:id="rId10"/>
    <sheet name="Diff Amp" sheetId="28" r:id="rId11"/>
    <sheet name="Integ" sheetId="14" r:id="rId12"/>
    <sheet name="Differ" sheetId="15" r:id="rId13"/>
    <sheet name="ADC" sheetId="6" r:id="rId14"/>
    <sheet name="DAC" sheetId="7" r:id="rId15"/>
    <sheet name="Reg Linear" sheetId="8" r:id="rId16"/>
    <sheet name="Reg Heat" sheetId="9" r:id="rId17"/>
    <sheet name="Super Pos" sheetId="10" r:id="rId18"/>
    <sheet name="BJT Amp CE" sheetId="16" r:id="rId19"/>
    <sheet name="Control Sys" sheetId="12" r:id="rId20"/>
    <sheet name="Noise en,eR" sheetId="17" r:id="rId21"/>
    <sheet name="Xfmr Ideal" sheetId="18" r:id="rId22"/>
    <sheet name="R Divider AC" sheetId="19" r:id="rId23"/>
    <sheet name="SMPS Buck" sheetId="20" r:id="rId24"/>
    <sheet name="Calibration" sheetId="21" r:id="rId25"/>
    <sheet name="Comp Hys" sheetId="22" r:id="rId26"/>
    <sheet name="Cap, Ind" sheetId="23" r:id="rId27"/>
    <sheet name="Current Src" sheetId="25" r:id="rId28"/>
    <sheet name="Diode Leakage" sheetId="26" r:id="rId29"/>
    <sheet name="555 Timer" sheetId="27" r:id="rId30"/>
    <sheet name="EE Hands-On Topics" sheetId="30" r:id="rId3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34" l="1"/>
  <c r="B30" i="34"/>
  <c r="B29" i="34"/>
  <c r="B28" i="34"/>
  <c r="B19" i="34"/>
  <c r="B20" i="34" s="1"/>
  <c r="B12" i="34"/>
  <c r="B13" i="34" s="1"/>
  <c r="B8" i="34"/>
  <c r="B7" i="34"/>
  <c r="B35" i="32"/>
  <c r="B34" i="32"/>
  <c r="B30" i="7"/>
  <c r="B20" i="7"/>
  <c r="B27" i="6"/>
  <c r="B16" i="6"/>
  <c r="B21" i="6"/>
  <c r="B26" i="7"/>
  <c r="B16" i="7"/>
  <c r="B20" i="6"/>
  <c r="B31" i="6"/>
  <c r="B45" i="33"/>
  <c r="B46" i="33"/>
  <c r="B42" i="33"/>
  <c r="B41" i="33"/>
  <c r="B48" i="32"/>
  <c r="B52" i="5"/>
  <c r="B57" i="29"/>
  <c r="B42" i="32"/>
  <c r="B41" i="32"/>
  <c r="B31" i="33"/>
  <c r="B24" i="33"/>
  <c r="B22" i="34" l="1"/>
  <c r="B21" i="34"/>
  <c r="B18" i="32"/>
  <c r="B26" i="31"/>
  <c r="B27" i="31" s="1"/>
  <c r="B11" i="31"/>
  <c r="B25" i="32" l="1"/>
  <c r="B23" i="32"/>
  <c r="B24" i="32" s="1"/>
  <c r="B41" i="29"/>
  <c r="B41" i="13"/>
  <c r="B49" i="21"/>
  <c r="B48" i="21"/>
  <c r="B29" i="29"/>
  <c r="B30" i="29" s="1"/>
  <c r="B20" i="29"/>
  <c r="B21" i="29"/>
  <c r="B20" i="13"/>
  <c r="B21" i="13" s="1"/>
  <c r="B30" i="28"/>
  <c r="B29" i="28"/>
  <c r="B53" i="5" l="1"/>
  <c r="B35" i="28"/>
  <c r="B44" i="29"/>
  <c r="B45" i="29" s="1"/>
  <c r="B39" i="27"/>
  <c r="B40" i="27" s="1"/>
  <c r="B27" i="27"/>
  <c r="B26" i="27"/>
  <c r="B28" i="19"/>
  <c r="B27" i="19"/>
  <c r="B42" i="26"/>
  <c r="B27" i="26"/>
  <c r="B31" i="26" s="1"/>
  <c r="B30" i="25"/>
  <c r="B31" i="25" s="1"/>
  <c r="B33" i="25" s="1"/>
  <c r="B33" i="5"/>
  <c r="B23" i="5"/>
  <c r="B18" i="5"/>
  <c r="B50" i="23"/>
  <c r="B51" i="23" s="1"/>
  <c r="B30" i="23"/>
  <c r="B32" i="23" s="1"/>
  <c r="B44" i="23"/>
  <c r="B39" i="23"/>
  <c r="B23" i="23"/>
  <c r="B18" i="23"/>
  <c r="B29" i="22"/>
  <c r="B28" i="22"/>
  <c r="B20" i="21"/>
  <c r="B29" i="20"/>
  <c r="B24" i="20"/>
  <c r="B23" i="20"/>
  <c r="B45" i="19"/>
  <c r="B24" i="19"/>
  <c r="B24" i="18"/>
  <c r="B36" i="17"/>
  <c r="B23" i="17"/>
  <c r="B25" i="17" s="1"/>
  <c r="B37" i="17" s="1"/>
  <c r="B48" i="16"/>
  <c r="B49" i="16" s="1"/>
  <c r="B53" i="16"/>
  <c r="B54" i="16" s="1"/>
  <c r="B42" i="16"/>
  <c r="B40" i="16"/>
  <c r="B41" i="16" s="1"/>
  <c r="B24" i="14"/>
  <c r="B22" i="15"/>
  <c r="B23" i="14"/>
  <c r="B22" i="14"/>
  <c r="B29" i="13"/>
  <c r="B30" i="13" s="1"/>
  <c r="B38" i="12"/>
  <c r="B25" i="12"/>
  <c r="B29" i="12" s="1"/>
  <c r="B24" i="12"/>
  <c r="B28" i="12" s="1"/>
  <c r="B27" i="10"/>
  <c r="B28" i="10" s="1"/>
  <c r="B23" i="10"/>
  <c r="B24" i="10" s="1"/>
  <c r="B22" i="9"/>
  <c r="B29" i="9" s="1"/>
  <c r="B39" i="8"/>
  <c r="B40" i="8" s="1"/>
  <c r="B29" i="8"/>
  <c r="B30" i="8" s="1"/>
  <c r="B22" i="8"/>
  <c r="B32" i="5"/>
  <c r="B29" i="2"/>
  <c r="B36" i="2"/>
  <c r="B37" i="2" s="1"/>
  <c r="B24" i="2"/>
  <c r="B19" i="2"/>
  <c r="B34" i="1"/>
  <c r="B28" i="1"/>
  <c r="B21" i="1"/>
  <c r="B16" i="1"/>
  <c r="B41" i="5" l="1"/>
  <c r="B40" i="5"/>
  <c r="B45" i="5"/>
  <c r="B32" i="12"/>
  <c r="B21" i="21"/>
  <c r="B43" i="21" s="1"/>
  <c r="B42" i="21"/>
  <c r="B43" i="16"/>
  <c r="B44" i="16" s="1"/>
  <c r="B25" i="18"/>
  <c r="B26" i="18" s="1"/>
  <c r="B27" i="18" s="1"/>
  <c r="B31" i="18" s="1"/>
  <c r="B39" i="18"/>
  <c r="B40" i="18" s="1"/>
  <c r="B44" i="18" s="1"/>
  <c r="B53" i="29"/>
  <c r="B52" i="29"/>
  <c r="B48" i="29"/>
  <c r="B49" i="29" s="1"/>
  <c r="B52" i="23"/>
  <c r="B32" i="25"/>
  <c r="B30" i="27"/>
  <c r="B31" i="27" s="1"/>
  <c r="B31" i="23"/>
  <c r="B31" i="22"/>
  <c r="B32" i="22"/>
  <c r="B35" i="22" s="1"/>
  <c r="B25" i="20"/>
  <c r="B30" i="20" s="1"/>
  <c r="B31" i="20" s="1"/>
  <c r="B32" i="20" s="1"/>
  <c r="B26" i="20"/>
  <c r="B36" i="18"/>
  <c r="B30" i="18"/>
  <c r="B35" i="18" s="1"/>
  <c r="B40" i="17"/>
  <c r="B50" i="16"/>
  <c r="B57" i="16" s="1"/>
  <c r="B60" i="16" s="1"/>
  <c r="B23" i="15"/>
  <c r="B24" i="15" s="1"/>
  <c r="B44" i="13"/>
  <c r="B45" i="13" s="1"/>
  <c r="B31" i="10"/>
  <c r="B36" i="5"/>
  <c r="B37" i="5" s="1"/>
  <c r="C49" i="21" l="1"/>
  <c r="C48" i="21"/>
  <c r="B32" i="18"/>
  <c r="B52" i="13"/>
  <c r="B53" i="13"/>
  <c r="B48" i="13"/>
  <c r="B49" i="13" l="1"/>
  <c r="B57" i="13"/>
  <c r="B34" i="34" l="1"/>
  <c r="B37" i="34"/>
  <c r="B35" i="34" l="1"/>
  <c r="B36" i="34"/>
</calcChain>
</file>

<file path=xl/sharedStrings.xml><?xml version="1.0" encoding="utf-8"?>
<sst xmlns="http://schemas.openxmlformats.org/spreadsheetml/2006/main" count="923" uniqueCount="541">
  <si>
    <t>R1</t>
  </si>
  <si>
    <t>R2</t>
  </si>
  <si>
    <t>www.ecircuitcenter.com</t>
  </si>
  <si>
    <t>Find R2</t>
  </si>
  <si>
    <t>1/(1/R1+1/R2)</t>
  </si>
  <si>
    <t>R3</t>
  </si>
  <si>
    <t>1/(1/R1+1/R2+1/R3)</t>
  </si>
  <si>
    <t>Find 2 Parallel R</t>
  </si>
  <si>
    <t>Find 3 Parallel R</t>
  </si>
  <si>
    <t>Parallel Resistors</t>
  </si>
  <si>
    <t>Resistor Divider</t>
  </si>
  <si>
    <t>Kdiv</t>
  </si>
  <si>
    <t>Vin</t>
  </si>
  <si>
    <t>Vout</t>
  </si>
  <si>
    <t>Find R1</t>
  </si>
  <si>
    <t>R2*(1-Kdiv)/Kdiv</t>
  </si>
  <si>
    <t>Vout/Vin</t>
  </si>
  <si>
    <t>Enter values</t>
  </si>
  <si>
    <t>Calc results</t>
  </si>
  <si>
    <t>Rp</t>
  </si>
  <si>
    <t>1/(1/Rp-1/R1-1/R2)</t>
  </si>
  <si>
    <t>1/(1/Rp -1/R1)</t>
  </si>
  <si>
    <t>R2/(R1+R2)</t>
  </si>
  <si>
    <t>R1*Kdiv/(1-Kdiv)</t>
  </si>
  <si>
    <t>Ratio, %, ppm, Nbits</t>
  </si>
  <si>
    <t>Find %, ppm</t>
  </si>
  <si>
    <t>ratio</t>
  </si>
  <si>
    <t>%</t>
  </si>
  <si>
    <t>Ratio*100</t>
  </si>
  <si>
    <t>ppm</t>
  </si>
  <si>
    <t>Ratio*1e6</t>
  </si>
  <si>
    <t>Find Ratio, %</t>
  </si>
  <si>
    <t>ppm/1e6</t>
  </si>
  <si>
    <t>Find %, ppm, Nbits</t>
  </si>
  <si>
    <t>enter value &lt; 1</t>
  </si>
  <si>
    <t>N (bits)</t>
  </si>
  <si>
    <t>ln(2) / ln(ratio)</t>
  </si>
  <si>
    <t>ratio*100</t>
  </si>
  <si>
    <t>ratio*1e6</t>
  </si>
  <si>
    <t>N bits ADC or DAC</t>
  </si>
  <si>
    <t>1/2^N</t>
  </si>
  <si>
    <t>enter values</t>
  </si>
  <si>
    <t>calc results</t>
  </si>
  <si>
    <t>RC Low Pass Filter</t>
  </si>
  <si>
    <t>R</t>
  </si>
  <si>
    <t>C</t>
  </si>
  <si>
    <t>1 / (2 pi R C)</t>
  </si>
  <si>
    <t>fc (-3dB)</t>
  </si>
  <si>
    <t>Find C</t>
  </si>
  <si>
    <t>1 / (2 pi R fc)</t>
  </si>
  <si>
    <t>tr (63%)</t>
  </si>
  <si>
    <t>Tau = R*C</t>
  </si>
  <si>
    <t>tr (10-90%)</t>
  </si>
  <si>
    <t>2.2*Tau</t>
  </si>
  <si>
    <t>ts (1%)</t>
  </si>
  <si>
    <t>Tau</t>
  </si>
  <si>
    <t>ts (0.1%)</t>
  </si>
  <si>
    <t>-ln(0.01) / ln( e ) * Tau</t>
  </si>
  <si>
    <t>-ln(0.001) / ln( e ) * Tau</t>
  </si>
  <si>
    <t>Vref</t>
  </si>
  <si>
    <t>N</t>
  </si>
  <si>
    <t>ADCword (hex)</t>
  </si>
  <si>
    <t>ADCword (dec)</t>
  </si>
  <si>
    <t>DACword</t>
  </si>
  <si>
    <t>Find Vout</t>
  </si>
  <si>
    <t>Regulator - Linear</t>
  </si>
  <si>
    <t>K</t>
  </si>
  <si>
    <t>Vout/Vref</t>
  </si>
  <si>
    <t>R1*(K-1)</t>
  </si>
  <si>
    <t>Iout</t>
  </si>
  <si>
    <t>Vout @Iout</t>
  </si>
  <si>
    <t>Vout - Vdroop</t>
  </si>
  <si>
    <t>LoadReg</t>
  </si>
  <si>
    <t>Calc Vdrop due to Load Regulation</t>
  </si>
  <si>
    <t>Vdrop</t>
  </si>
  <si>
    <t>Iout / Iout_max * Vout * LoadReg</t>
  </si>
  <si>
    <t>% of Vout @ Iout_max</t>
  </si>
  <si>
    <t>Iout_max</t>
  </si>
  <si>
    <t>(R1+R2)/R1</t>
  </si>
  <si>
    <t>Regulator - thermal, heat</t>
  </si>
  <si>
    <t>(Vin-Vout)*Iout</t>
  </si>
  <si>
    <t>Calc junction temp rise</t>
  </si>
  <si>
    <t>junction to case</t>
  </si>
  <si>
    <t>case to air</t>
  </si>
  <si>
    <t>theta_jc  (C/W)</t>
  </si>
  <si>
    <t>theta_ca  (C/W)</t>
  </si>
  <si>
    <t>Tj ( C)</t>
  </si>
  <si>
    <t>ambient temp</t>
  </si>
  <si>
    <t>jumction temp</t>
  </si>
  <si>
    <t xml:space="preserve">ADCword </t>
  </si>
  <si>
    <t>Super Position Analysis</t>
  </si>
  <si>
    <t>V1</t>
  </si>
  <si>
    <t>V2</t>
  </si>
  <si>
    <t>Components</t>
  </si>
  <si>
    <t>Rp23</t>
  </si>
  <si>
    <t>Short V2, find Vo due to V1</t>
  </si>
  <si>
    <t>V1*Rp23/(R1+Rp23)</t>
  </si>
  <si>
    <t>R2||R3 = 1/(1/R2+1/R3)</t>
  </si>
  <si>
    <t>Short V1, find Vo due to V2</t>
  </si>
  <si>
    <t>Rp13</t>
  </si>
  <si>
    <t>R1||R3 = 1/(1/R1+1/R3)</t>
  </si>
  <si>
    <t>Vout_1</t>
  </si>
  <si>
    <t>Vout_2</t>
  </si>
  <si>
    <t>Vout_1 + Vout_2</t>
  </si>
  <si>
    <t>Ta ( C)</t>
  </si>
  <si>
    <t>Rs</t>
  </si>
  <si>
    <t>Input</t>
  </si>
  <si>
    <t>Vs</t>
  </si>
  <si>
    <t>Re1</t>
  </si>
  <si>
    <t>Rc</t>
  </si>
  <si>
    <t>Re2</t>
  </si>
  <si>
    <t>Vcc</t>
  </si>
  <si>
    <t>Vb</t>
  </si>
  <si>
    <t>Ve</t>
  </si>
  <si>
    <t>Re</t>
  </si>
  <si>
    <t>Re1+Re2</t>
  </si>
  <si>
    <t>Ie</t>
  </si>
  <si>
    <t>Ve/Re</t>
  </si>
  <si>
    <t>BJT</t>
  </si>
  <si>
    <t>Vbe</t>
  </si>
  <si>
    <t>Vc</t>
  </si>
  <si>
    <t>Vb - Vbe</t>
  </si>
  <si>
    <t>Rload</t>
  </si>
  <si>
    <t>Rc||Rload</t>
  </si>
  <si>
    <t>Rp12/(Rs+Rp12)</t>
  </si>
  <si>
    <t>Kin</t>
  </si>
  <si>
    <t>Kout</t>
  </si>
  <si>
    <t>RC'</t>
  </si>
  <si>
    <t>RC'/Re1</t>
  </si>
  <si>
    <t>Ktot</t>
  </si>
  <si>
    <t>Kin*Kout</t>
  </si>
  <si>
    <t>Vin*Ktot</t>
  </si>
  <si>
    <t>Vcc*R2/(R1+R2)</t>
  </si>
  <si>
    <r>
      <t xml:space="preserve">Vcc - Ic*Rc </t>
    </r>
    <r>
      <rPr>
        <sz val="11"/>
        <color theme="1"/>
        <rFont val="Calibri"/>
        <family val="2"/>
      </rPr>
      <t>≈</t>
    </r>
    <r>
      <rPr>
        <sz val="11"/>
        <color theme="1"/>
        <rFont val="Calibri"/>
        <family val="2"/>
        <scheme val="minor"/>
      </rPr>
      <t xml:space="preserve"> Vcc - Ie*Rc</t>
    </r>
  </si>
  <si>
    <t>A</t>
  </si>
  <si>
    <t>B</t>
  </si>
  <si>
    <t>K exact</t>
  </si>
  <si>
    <t>A/(1+A*B)</t>
  </si>
  <si>
    <t>K approx</t>
  </si>
  <si>
    <t>1/B</t>
  </si>
  <si>
    <t>Vout exact</t>
  </si>
  <si>
    <t>Vin*Kexact</t>
  </si>
  <si>
    <t>Vin*Kapprox</t>
  </si>
  <si>
    <t>Vout approx</t>
  </si>
  <si>
    <t>Error of approximation</t>
  </si>
  <si>
    <t>feedforward path</t>
  </si>
  <si>
    <t>input</t>
  </si>
  <si>
    <t>K desired</t>
  </si>
  <si>
    <t>1/K</t>
  </si>
  <si>
    <t>feedback path (gain set)</t>
  </si>
  <si>
    <t>actual output</t>
  </si>
  <si>
    <t>Check it out - gain set mostly by 1/B (for A&gt;&gt;1)</t>
  </si>
  <si>
    <t>Kn</t>
  </si>
  <si>
    <t>fc</t>
  </si>
  <si>
    <t>device spec datasheet</t>
  </si>
  <si>
    <t xml:space="preserve">Noise gain </t>
  </si>
  <si>
    <t>(same as non-inverting gain)</t>
  </si>
  <si>
    <t>C1</t>
  </si>
  <si>
    <t>Circuit</t>
  </si>
  <si>
    <r>
      <t>Δ</t>
    </r>
    <r>
      <rPr>
        <sz val="12.65"/>
        <color theme="1"/>
        <rFont val="Calibri"/>
        <family val="2"/>
      </rPr>
      <t>t</t>
    </r>
  </si>
  <si>
    <t>DC input</t>
  </si>
  <si>
    <t>time interval</t>
  </si>
  <si>
    <t>I_C1</t>
  </si>
  <si>
    <t>-1/C1 * I_C1*Δt</t>
  </si>
  <si>
    <t>ΔVin</t>
  </si>
  <si>
    <t>I_R1</t>
  </si>
  <si>
    <t>C1*ΔVin/Δt</t>
  </si>
  <si>
    <t>-I_R1*R1</t>
  </si>
  <si>
    <t>Vin / R1</t>
  </si>
  <si>
    <t>constant slope</t>
  </si>
  <si>
    <t>Find R1,C1 current and Vout</t>
  </si>
  <si>
    <t>ΔVout</t>
  </si>
  <si>
    <t>Beta</t>
  </si>
  <si>
    <t>Rinb</t>
  </si>
  <si>
    <t>R1||R2||Rinb</t>
  </si>
  <si>
    <t>Re1*Beta</t>
  </si>
  <si>
    <t>Rin</t>
  </si>
  <si>
    <t>Noise - Amplfier, Resistor</t>
  </si>
  <si>
    <t>System Gain</t>
  </si>
  <si>
    <t>System Bandwidth</t>
  </si>
  <si>
    <t>Amplifier - noise spectral density</t>
  </si>
  <si>
    <t>Resistor Noise</t>
  </si>
  <si>
    <t>temperature F</t>
  </si>
  <si>
    <t>Ksys</t>
  </si>
  <si>
    <t>k</t>
  </si>
  <si>
    <t>Boltzmann's constant</t>
  </si>
  <si>
    <t>T_F+273.15</t>
  </si>
  <si>
    <t>ohms</t>
  </si>
  <si>
    <t>T_F  (deg)</t>
  </si>
  <si>
    <t>T_K (Kelvin)</t>
  </si>
  <si>
    <t>Noise output (RMS) due to each source</t>
  </si>
  <si>
    <t>en*Ksys*sqrt(fbw*Kfil)</t>
  </si>
  <si>
    <t>fbw (-3dB)</t>
  </si>
  <si>
    <t>Kfil (filter type scaler)</t>
  </si>
  <si>
    <t>eR*Ksys*sqrt(fbw*Kfil)</t>
  </si>
  <si>
    <t xml:space="preserve">sqrt(4*k*T_K*R) </t>
  </si>
  <si>
    <t>Noise total</t>
  </si>
  <si>
    <t>sqrt(En^2+ER^2))</t>
  </si>
  <si>
    <t>En (Vrms)</t>
  </si>
  <si>
    <t>ER (Vrms)</t>
  </si>
  <si>
    <t>Etot (Vrms)</t>
  </si>
  <si>
    <t>en  ( V/sqrt(Hz)  )</t>
  </si>
  <si>
    <t>from datasheet</t>
  </si>
  <si>
    <t>1.5 single pole, 1.22 double pole, 1.0 brickwall</t>
  </si>
  <si>
    <t>eR   (nV/sqrt(Hz))</t>
  </si>
  <si>
    <t>Transformer</t>
  </si>
  <si>
    <t>Np</t>
  </si>
  <si>
    <t>Ns</t>
  </si>
  <si>
    <t>Sinewave peak</t>
  </si>
  <si>
    <t>source resistance</t>
  </si>
  <si>
    <t>Input / output</t>
  </si>
  <si>
    <t>load resistance</t>
  </si>
  <si>
    <t>a</t>
  </si>
  <si>
    <t>turns ratio = Np/Ns</t>
  </si>
  <si>
    <t>a^2*Rload</t>
  </si>
  <si>
    <t>Vs*Rin/(Rs+Rin)</t>
  </si>
  <si>
    <t>Vin*1/a</t>
  </si>
  <si>
    <t>Transformer Ideal</t>
  </si>
  <si>
    <t>Vout/Rload</t>
  </si>
  <si>
    <t>Iin</t>
  </si>
  <si>
    <t>Vin/Rin</t>
  </si>
  <si>
    <t>Iout/Iin</t>
  </si>
  <si>
    <t>same as turns ratio</t>
  </si>
  <si>
    <t>Pin</t>
  </si>
  <si>
    <t>Vin*Iin</t>
  </si>
  <si>
    <t>Pout</t>
  </si>
  <si>
    <t>Vout*Iout</t>
  </si>
  <si>
    <t>Lp/Ls</t>
  </si>
  <si>
    <t>C2</t>
  </si>
  <si>
    <t>Kdiv_dc</t>
  </si>
  <si>
    <t>R2 / (R1+R2)</t>
  </si>
  <si>
    <t>R2*C2 / R1</t>
  </si>
  <si>
    <t>DC Gain (resistor divider, f=0)</t>
  </si>
  <si>
    <t>SMPS Buck Converter</t>
  </si>
  <si>
    <t>L</t>
  </si>
  <si>
    <t>fs</t>
  </si>
  <si>
    <t>Buck Params</t>
  </si>
  <si>
    <t>Ts</t>
  </si>
  <si>
    <t>Vin/Vout</t>
  </si>
  <si>
    <t>Ton</t>
  </si>
  <si>
    <t>Ts*D</t>
  </si>
  <si>
    <t>Ts*(1-D)</t>
  </si>
  <si>
    <t>Toff</t>
  </si>
  <si>
    <t>ΔI_L</t>
  </si>
  <si>
    <t>(Vin-Vout)/L * Ton</t>
  </si>
  <si>
    <t>ΔI_C</t>
  </si>
  <si>
    <t>ΔI_C * Ts/(8*C)</t>
  </si>
  <si>
    <t>ΔVout (ripple)</t>
  </si>
  <si>
    <t>x1, y1</t>
  </si>
  <si>
    <t>x2, y2</t>
  </si>
  <si>
    <t>1/m</t>
  </si>
  <si>
    <t>input,output</t>
  </si>
  <si>
    <t>Comparator with hysteresis</t>
  </si>
  <si>
    <t>Rp12</t>
  </si>
  <si>
    <t>R1||R2 = 1/(1/R1+1/R2)</t>
  </si>
  <si>
    <t xml:space="preserve">Vcc*Rp23/(R1+Rp23) + Vo_HI*Rp12/(R3+Rp12) </t>
  </si>
  <si>
    <t xml:space="preserve">Vcc*Rp23/(R1+Rp23) + Vo_LO*Rp12/(R3+Rp12) </t>
  </si>
  <si>
    <t>Vo_HI</t>
  </si>
  <si>
    <t>Vo_LO</t>
  </si>
  <si>
    <t>Vthr_HI</t>
  </si>
  <si>
    <t>Vthr_LO</t>
  </si>
  <si>
    <t>Vhys</t>
  </si>
  <si>
    <t>Vthr_HI - Vthr_LO</t>
  </si>
  <si>
    <t>pos feedback creates hysteresis</t>
  </si>
  <si>
    <t>Calc comparator thresholds hi and lo (see super position)</t>
  </si>
  <si>
    <t>Capacitor, Inductor</t>
  </si>
  <si>
    <t>f</t>
  </si>
  <si>
    <t>|Xc|</t>
  </si>
  <si>
    <t>Find |Xc|</t>
  </si>
  <si>
    <t>1 / (2 pi f C)</t>
  </si>
  <si>
    <t>1 / (2 pi f Xc)</t>
  </si>
  <si>
    <t>Capacitor</t>
  </si>
  <si>
    <t>Inductor</t>
  </si>
  <si>
    <t>Find |XL|</t>
  </si>
  <si>
    <t>|XL|</t>
  </si>
  <si>
    <t>(2 pi f L)</t>
  </si>
  <si>
    <t>|XL| / (2 pi f)</t>
  </si>
  <si>
    <t>Find L</t>
  </si>
  <si>
    <t>RC Series</t>
  </si>
  <si>
    <t>|Z| = |R + jX|</t>
  </si>
  <si>
    <t>sqrt(R^2 + X^2)</t>
  </si>
  <si>
    <t>-atan (|X|/R)*180/pi</t>
  </si>
  <si>
    <t>Phase (deg)</t>
  </si>
  <si>
    <t>RL Series</t>
  </si>
  <si>
    <t>atan (|X|/R)*180/pi</t>
  </si>
  <si>
    <t>Vgs</t>
  </si>
  <si>
    <t>gate source voltage at expected Iout</t>
  </si>
  <si>
    <t>Vg</t>
  </si>
  <si>
    <t>Rsense</t>
  </si>
  <si>
    <t>Vsense/Rsense</t>
  </si>
  <si>
    <t>Vsense (Vs)</t>
  </si>
  <si>
    <t>Vd</t>
  </si>
  <si>
    <t>Vcc - Iout*Rload</t>
  </si>
  <si>
    <t>Op Amp Current Source (Low Side)</t>
  </si>
  <si>
    <t>leakage current at T1</t>
  </si>
  <si>
    <t>From datasheet (typically T1=25C)</t>
  </si>
  <si>
    <t>leakage current at T2</t>
  </si>
  <si>
    <t>Ileak1</t>
  </si>
  <si>
    <t>Ileak2</t>
  </si>
  <si>
    <t>Ileak1 * 2^( (T2-T1)/N )</t>
  </si>
  <si>
    <t>input resistance</t>
  </si>
  <si>
    <t>Ileak2 * R1</t>
  </si>
  <si>
    <t>Verr</t>
  </si>
  <si>
    <t>temp for Ileak1</t>
  </si>
  <si>
    <t>temp for Ileak2</t>
  </si>
  <si>
    <t>Copy this value into N above</t>
  </si>
  <si>
    <t>Calc diode leakage at temp T2</t>
  </si>
  <si>
    <t>Tau1</t>
  </si>
  <si>
    <t>R2*C2</t>
  </si>
  <si>
    <t>R1*C1</t>
  </si>
  <si>
    <t>Tau2</t>
  </si>
  <si>
    <t>Find time constants of each RC pair</t>
  </si>
  <si>
    <t>Tau1 &gt; Tau2</t>
  </si>
  <si>
    <t>Tau1 = Tau2</t>
  </si>
  <si>
    <t>Tau1 &lt; Tau2</t>
  </si>
  <si>
    <t>RA</t>
  </si>
  <si>
    <t>RB</t>
  </si>
  <si>
    <t>Find Ton, Toff</t>
  </si>
  <si>
    <t>0.693*(RA+RB)*C</t>
  </si>
  <si>
    <t>Tper</t>
  </si>
  <si>
    <t>Ton+Toff</t>
  </si>
  <si>
    <t>f (Hz)</t>
  </si>
  <si>
    <t>1/Tper</t>
  </si>
  <si>
    <t>0.693*(RB)*C</t>
  </si>
  <si>
    <t>Find RB</t>
  </si>
  <si>
    <t>(Tper / (0.693*C) - RA )*1/2</t>
  </si>
  <si>
    <t>Differential Amplifier</t>
  </si>
  <si>
    <t>R4</t>
  </si>
  <si>
    <t>R4/(R3+R4) * (R2+R1)/R1</t>
  </si>
  <si>
    <t>Kp</t>
  </si>
  <si>
    <t>-R2/R1</t>
  </si>
  <si>
    <t>Vinp</t>
  </si>
  <si>
    <t>pos input</t>
  </si>
  <si>
    <t>Vinn</t>
  </si>
  <si>
    <t>neg input</t>
  </si>
  <si>
    <t>Vcm</t>
  </si>
  <si>
    <t>Common mode input</t>
  </si>
  <si>
    <t>(Vinp+Vcm)*Kp + (Vinn+Vcm)*Kn</t>
  </si>
  <si>
    <t>Vo</t>
  </si>
  <si>
    <t>Gains Pos and Neg</t>
  </si>
  <si>
    <t>P_U1 (W)</t>
  </si>
  <si>
    <t>Control System - Block Diagram</t>
  </si>
  <si>
    <t>make A large so that gain is set mainly by B</t>
  </si>
  <si>
    <t>a^2</t>
  </si>
  <si>
    <t>Ls/Lp</t>
  </si>
  <si>
    <t>Lp (mH)</t>
  </si>
  <si>
    <t>Ls (mH)</t>
  </si>
  <si>
    <t>actual diode operating temp</t>
  </si>
  <si>
    <t>Overview</t>
  </si>
  <si>
    <t>Enter Rp, Find R2</t>
  </si>
  <si>
    <t>Enter R1, R2 and desired Rp. Find R3</t>
  </si>
  <si>
    <t>Find K and R2</t>
  </si>
  <si>
    <t>Integrator - Pulse Input</t>
  </si>
  <si>
    <t>Differentiator - Ramp Input</t>
  </si>
  <si>
    <t>Find current in C1, R1 and Vout</t>
  </si>
  <si>
    <t>ADC Basics - Unipolar and Bipolar Input</t>
  </si>
  <si>
    <t>DAC Basics - Unipolar and Bipolar Input</t>
  </si>
  <si>
    <t>Amplifier - Non-Inverting</t>
  </si>
  <si>
    <t>Calc amplifier bw</t>
  </si>
  <si>
    <t>Rise time</t>
  </si>
  <si>
    <t>Resistor Divider - AC</t>
  </si>
  <si>
    <t>Diode Leakage - Overvoltage Clamp</t>
  </si>
  <si>
    <t>555 Timer - Astable</t>
  </si>
  <si>
    <t>Find Cuttoff Frequency (fc)</t>
  </si>
  <si>
    <t>Find Resistor Divider Gain</t>
  </si>
  <si>
    <t>Find Output Vout</t>
  </si>
  <si>
    <t>Vin*K</t>
  </si>
  <si>
    <t>Find Bandwidth, Risetime, Settling Time</t>
  </si>
  <si>
    <t>R1*(-K)</t>
  </si>
  <si>
    <t>R2/R1+1</t>
  </si>
  <si>
    <t>Amplifier - Inverting</t>
  </si>
  <si>
    <t>Overall Output</t>
  </si>
  <si>
    <t>Add both outputs for total</t>
  </si>
  <si>
    <t>Find DC bias point (approx)</t>
  </si>
  <si>
    <t>Find Gain (approx) at midband where C1=CE=CL=short.</t>
  </si>
  <si>
    <t>Find output gain</t>
  </si>
  <si>
    <t>Total gain</t>
  </si>
  <si>
    <t>Find V output</t>
  </si>
  <si>
    <t>Find system gain</t>
  </si>
  <si>
    <t>Enter System</t>
  </si>
  <si>
    <t>Find output</t>
  </si>
  <si>
    <t>Find Feedback B given desired gain K</t>
  </si>
  <si>
    <t>Turns ratio, voltages</t>
  </si>
  <si>
    <t>Find inductance ratio</t>
  </si>
  <si>
    <t>Calculate inductances</t>
  </si>
  <si>
    <t>Find Currents</t>
  </si>
  <si>
    <t>Find Power</t>
  </si>
  <si>
    <t>Lp*(Ls/Lp)</t>
  </si>
  <si>
    <t>1/(Lp/Ls)</t>
  </si>
  <si>
    <t>R Divider with capactance</t>
  </si>
  <si>
    <t>For best response to a Square Wave input &gt; make Tau1 = Tau2</t>
  </si>
  <si>
    <t>Switching Period Ts, Duty Cycle D</t>
  </si>
  <si>
    <t>1/fs</t>
  </si>
  <si>
    <t>Find currents and voltages</t>
  </si>
  <si>
    <t>D</t>
  </si>
  <si>
    <t>Voltmeter Calibration - Slope, Offset</t>
  </si>
  <si>
    <t>Hysteresis</t>
  </si>
  <si>
    <t>Comparator Output Swing</t>
  </si>
  <si>
    <t>Find Output Current Iout</t>
  </si>
  <si>
    <t>Voltage Error across R1</t>
  </si>
  <si>
    <t>Thermal resistances of device</t>
  </si>
  <si>
    <t>Base bias R</t>
  </si>
  <si>
    <t>Current Gain = Ic/Ib</t>
  </si>
  <si>
    <t>Bias / Gain / Load resistors</t>
  </si>
  <si>
    <t>Input gain</t>
  </si>
  <si>
    <t>Supply</t>
  </si>
  <si>
    <t>(Vout_approx - Vout_exact)/Vout_exact x 100%</t>
  </si>
  <si>
    <t>Vout_err %</t>
  </si>
  <si>
    <t>Primary Turns</t>
  </si>
  <si>
    <t>Secondary Turns</t>
  </si>
  <si>
    <t>EXAMPLE</t>
  </si>
  <si>
    <t>Suppose C2 is stray cap on PCB.</t>
  </si>
  <si>
    <t>Find C1 for matched Tau.</t>
  </si>
  <si>
    <t>Copy this value into C1 above.</t>
  </si>
  <si>
    <t>If N unknown, then calc from 2 points on datasheet plots of Ileak (or Ireverse)</t>
  </si>
  <si>
    <t>Find Period Tper, Frequency f</t>
  </si>
  <si>
    <t xml:space="preserve">Explore circuits on your own or use the tutorials to get you started. </t>
  </si>
  <si>
    <t>Op Amp Design Series</t>
  </si>
  <si>
    <t>DVM Design Series</t>
  </si>
  <si>
    <t>Source Measure Unit Series</t>
  </si>
  <si>
    <t xml:space="preserve">How do SMUs force &amp; measure voltage &amp; current for component testing? </t>
  </si>
  <si>
    <t>https://ecircuitcenter.com/Circuits.htm</t>
  </si>
  <si>
    <t>https://ecircuitcenter.com/LTSPICE/op_amp_series_1.html</t>
  </si>
  <si>
    <t>https://ecircuitcenter.com/DVM1/DVM1_series.html</t>
  </si>
  <si>
    <t>Error Budget Analysis Series</t>
  </si>
  <si>
    <t>How does each component impact overall error?</t>
  </si>
  <si>
    <t>https://ecircuitcenter.com/EBA/EBA_series1.html</t>
  </si>
  <si>
    <t>https://ecircuitcenter.com/SMU/SMU-series.html</t>
  </si>
  <si>
    <t>Solve 10 Op Amp Design Issues w/ Custom SPICE Models. Hands-on design!</t>
  </si>
  <si>
    <t>Walk thru 5 Key Design Phases. Prototype a DVM with Arduino!</t>
  </si>
  <si>
    <t>EE Hands-On Learning Topics</t>
  </si>
  <si>
    <t>50+ Analog Design Topics (SPICE &amp; Excel Files)</t>
  </si>
  <si>
    <t xml:space="preserve">Op Amps, Filters, Sensors, Switch-Mode Power Supplies, PID Controllers, Audio Amplifiers, etc. </t>
  </si>
  <si>
    <t>Cal Input, output pairs</t>
  </si>
  <si>
    <t>Uncal Readings (y)</t>
  </si>
  <si>
    <t>Applied input (x)</t>
  </si>
  <si>
    <t>Slope - m</t>
  </si>
  <si>
    <t>Offset - b</t>
  </si>
  <si>
    <t>-b/m</t>
  </si>
  <si>
    <t xml:space="preserve"> Calibrated readings</t>
  </si>
  <si>
    <t>Uncal readings</t>
  </si>
  <si>
    <t>y2, x'2</t>
  </si>
  <si>
    <t>m_cal</t>
  </si>
  <si>
    <t>b_cal</t>
  </si>
  <si>
    <t>Solve for x = y/m - b/m</t>
  </si>
  <si>
    <t>y1, x'1</t>
  </si>
  <si>
    <t>Find System Slope (m) and Offset (b):  y = m*x + b</t>
  </si>
  <si>
    <t>m = (y2-y1)/(x2-x1)</t>
  </si>
  <si>
    <t>b = y1 - m*x1</t>
  </si>
  <si>
    <t xml:space="preserve">               x = y*m_cal + b_cal</t>
  </si>
  <si>
    <t xml:space="preserve">               m_cal = 1/m,  b_cal=-b/m</t>
  </si>
  <si>
    <t>Apply Cal Coeffs:  x' = m_cal*y + b_cal</t>
  </si>
  <si>
    <t>Vsense + Vgs</t>
  </si>
  <si>
    <t>T1 (C)</t>
  </si>
  <si>
    <t>T2 (C)</t>
  </si>
  <si>
    <t>Find N Factor (current doubles every N deg C)</t>
  </si>
  <si>
    <t>leakage doubles every N deg C</t>
  </si>
  <si>
    <t>(T2-T1) / log2( Ileak2/Ileak1 )</t>
  </si>
  <si>
    <t>ts</t>
  </si>
  <si>
    <t>1 / (2 pi Tau)</t>
  </si>
  <si>
    <t>settling time</t>
  </si>
  <si>
    <t>Sinewave - max slew</t>
  </si>
  <si>
    <t>vpeak</t>
  </si>
  <si>
    <t>slew (V/us)</t>
  </si>
  <si>
    <t>dv/dt max = 2*pi*f*Vpeak</t>
  </si>
  <si>
    <t>bandwidth, -3dB freq</t>
  </si>
  <si>
    <t>1/(2*pi*fc)</t>
  </si>
  <si>
    <t>dv/dt max = Vstep / Tau</t>
  </si>
  <si>
    <t>Find Tau and fc</t>
  </si>
  <si>
    <t>RC Low-Pass Filter vs Frequency</t>
  </si>
  <si>
    <t>G</t>
  </si>
  <si>
    <t>GBWP</t>
  </si>
  <si>
    <t>Gain-Bandwidth Product</t>
  </si>
  <si>
    <t>Find Amplifier Bandwidth</t>
  </si>
  <si>
    <t>fbw</t>
  </si>
  <si>
    <t>fbw = GBWP / G</t>
  </si>
  <si>
    <t>Max Slew-Rate of Sine and Step</t>
  </si>
  <si>
    <t>Find GBWP required</t>
  </si>
  <si>
    <t>Bandwidth</t>
  </si>
  <si>
    <t>GBWP = G * fbw</t>
  </si>
  <si>
    <t>Find Calibration Coefficients from System y = m*x+b</t>
  </si>
  <si>
    <t>Vstep</t>
  </si>
  <si>
    <t xml:space="preserve">Exponential (single-pole LP response) </t>
  </si>
  <si>
    <t>|H(f)|</t>
  </si>
  <si>
    <t>Find Attenuation at frequency f</t>
  </si>
  <si>
    <t xml:space="preserve">f </t>
  </si>
  <si>
    <t>|H(f)| (dB)</t>
  </si>
  <si>
    <t>-atan( f / fc )*180/pi</t>
  </si>
  <si>
    <t>20*log10( |H(w)| )</t>
  </si>
  <si>
    <t>Find Cutoff Frequency (fc)</t>
  </si>
  <si>
    <t>|H| * f</t>
  </si>
  <si>
    <t>1 / SQRT( 1 + (f/fc)^2 )</t>
  </si>
  <si>
    <t>Enter ratio of final value, calc settling time</t>
  </si>
  <si>
    <t>ts (ratio)</t>
  </si>
  <si>
    <t>Settling time to within 1%, 0.1% (ratio) of final value</t>
  </si>
  <si>
    <t>-ln(ratio) / ln( e ) * Tau</t>
  </si>
  <si>
    <t>example: 0.001 for 0.1%</t>
  </si>
  <si>
    <t>fu (GBP)</t>
  </si>
  <si>
    <t>GBP / Kn</t>
  </si>
  <si>
    <t>Enter Unity-Gain Bandwidth (fu) or Gain Bandwidth Product (GBP)</t>
  </si>
  <si>
    <t>1 / (2 pi fbw)</t>
  </si>
  <si>
    <t>Calc Amplifier Bandwidth fbw</t>
  </si>
  <si>
    <t>Gain-BandWidth Product (GBWP)</t>
  </si>
  <si>
    <t>x%</t>
  </si>
  <si>
    <t>ts (x%)</t>
  </si>
  <si>
    <t>-ln(x/100) / ln( e ) * Tau</t>
  </si>
  <si>
    <t>Enter settling time ts to within x% of final value</t>
  </si>
  <si>
    <t>-ln(e) / ln( x/100 ) * ts</t>
  </si>
  <si>
    <t>% within final value</t>
  </si>
  <si>
    <t>-ln(1/100) / ln( e ) * Tau</t>
  </si>
  <si>
    <t>-ln(0.1/100) / ln( e ) * Tau</t>
  </si>
  <si>
    <t>Find R</t>
  </si>
  <si>
    <t>1 / (2 pi C fc)</t>
  </si>
  <si>
    <t>Find Cuttoff Frequency (fc), Risetime (tr) and Settling Time (ts)</t>
  </si>
  <si>
    <t>Gn</t>
  </si>
  <si>
    <t>Amplifier noise gain</t>
  </si>
  <si>
    <t>Non-Inverting</t>
  </si>
  <si>
    <t>Noise Gain</t>
  </si>
  <si>
    <t>Signal gain</t>
  </si>
  <si>
    <t>Inverting</t>
  </si>
  <si>
    <t>Enter Vin, Calc ADC word</t>
  </si>
  <si>
    <t>Enter ADC word, Calc Vin</t>
  </si>
  <si>
    <t>Enter DACword, calc Vout</t>
  </si>
  <si>
    <t>EnterVout, calc DACword</t>
  </si>
  <si>
    <t>counts max</t>
  </si>
  <si>
    <t>2^N-1</t>
  </si>
  <si>
    <t>DEC2HEX(ADCword,8)</t>
  </si>
  <si>
    <t>Cutofff frequency</t>
  </si>
  <si>
    <t>Rise times</t>
  </si>
  <si>
    <t>Settling time to within 1%, 0.1% of final value</t>
  </si>
  <si>
    <t>Settling time to within x% of final value</t>
  </si>
  <si>
    <t>f * 1 / SQRT(1/H^2 - 1)</t>
  </si>
  <si>
    <t>dB</t>
  </si>
  <si>
    <t>20*log10(ratio)</t>
  </si>
  <si>
    <t>Find ratio, dB, %, ppm</t>
  </si>
  <si>
    <t>Find dB, %, ppm, Nbits</t>
  </si>
  <si>
    <t>10^(dB/20)</t>
  </si>
  <si>
    <t>ADD Bits and dB</t>
  </si>
  <si>
    <t>Find fc needed (EXACT) to get desired Attenuation at f</t>
  </si>
  <si>
    <t>Find fc needed (APPROXimate) to get desired Attenuation at f (for f &gt;&gt; fc)</t>
  </si>
  <si>
    <t>Op Amp Signal Gain and Noise Gain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</si>
</sst>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00"/>
    <numFmt numFmtId="167" formatCode="0.0E+00"/>
    <numFmt numFmtId="168" formatCode="0.0000"/>
    <numFmt numFmtId="169" formatCode="#,##0.0"/>
    <numFmt numFmtId="170" formatCode="0.00000"/>
  </numFmts>
  <fonts count="1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2.65"/>
      <color theme="1"/>
      <name val="Calibri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rgb="FF20212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5.95"/>
      <color theme="10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3" fillId="0" borderId="0" xfId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  <xf numFmtId="0" fontId="0" fillId="2" borderId="0" xfId="0" applyFill="1"/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2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0" borderId="0" xfId="0" quotePrefix="1"/>
    <xf numFmtId="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quotePrefix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11" fontId="7" fillId="0" borderId="0" xfId="0" applyNumberFormat="1" applyFont="1" applyAlignment="1">
      <alignment horizontal="center"/>
    </xf>
    <xf numFmtId="0" fontId="7" fillId="2" borderId="0" xfId="0" applyFont="1" applyFill="1"/>
    <xf numFmtId="11" fontId="8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169" fontId="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165" fontId="0" fillId="3" borderId="0" xfId="0" applyNumberFormat="1" applyFill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2" borderId="0" xfId="0" applyFont="1" applyFill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1" applyFont="1"/>
    <xf numFmtId="0" fontId="14" fillId="0" borderId="0" xfId="0" applyFont="1"/>
    <xf numFmtId="0" fontId="15" fillId="0" borderId="0" xfId="0" applyFont="1"/>
    <xf numFmtId="3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0" fontId="7" fillId="0" borderId="0" xfId="0" applyFont="1" applyAlignment="1">
      <alignment horizontal="left"/>
    </xf>
    <xf numFmtId="0" fontId="17" fillId="0" borderId="0" xfId="0" applyFont="1"/>
    <xf numFmtId="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7" fillId="0" borderId="0" xfId="0" quotePrefix="1" applyFont="1"/>
    <xf numFmtId="170" fontId="0" fillId="0" borderId="0" xfId="0" applyNumberFormat="1" applyAlignment="1">
      <alignment horizontal="center"/>
    </xf>
    <xf numFmtId="0" fontId="10" fillId="0" borderId="0" xfId="0" applyFont="1"/>
    <xf numFmtId="0" fontId="10" fillId="4" borderId="0" xfId="0" applyFont="1" applyFill="1" applyAlignment="1">
      <alignment horizontal="center"/>
    </xf>
  </cellXfs>
  <cellStyles count="3">
    <cellStyle name="Hyperlink" xfId="1" builtinId="8"/>
    <cellStyle name="Hyperlink 2" xfId="2" xr:uid="{972E994E-11DD-4A86-8F31-7F8A937D7C0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vs. x with linear fit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Calibration!$B$16:$B$17</c:f>
              <c:numCache>
                <c:formatCode>0.00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Calibration!$C$16:$C$17</c:f>
              <c:numCache>
                <c:formatCode>0.00</c:formatCode>
                <c:ptCount val="2"/>
                <c:pt idx="0">
                  <c:v>1.1000000000000001</c:v>
                </c:pt>
                <c:pt idx="1">
                  <c:v>10.5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668-4439-895E-3090EE826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8124960"/>
        <c:axId val="804191168"/>
      </c:scatterChart>
      <c:valAx>
        <c:axId val="7981249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4191168"/>
        <c:crosses val="autoZero"/>
        <c:crossBetween val="midCat"/>
      </c:valAx>
      <c:valAx>
        <c:axId val="8041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1249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gi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png"/><Relationship Id="rId2" Type="http://schemas.openxmlformats.org/officeDocument/2006/relationships/image" Target="../media/image25.png"/><Relationship Id="rId1" Type="http://schemas.openxmlformats.org/officeDocument/2006/relationships/chart" Target="../charts/chart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2.png"/><Relationship Id="rId1" Type="http://schemas.openxmlformats.org/officeDocument/2006/relationships/image" Target="../media/image3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23786</xdr:colOff>
      <xdr:row>2</xdr:row>
      <xdr:rowOff>17458</xdr:rowOff>
    </xdr:from>
    <xdr:to>
      <xdr:col>6</xdr:col>
      <xdr:colOff>601869</xdr:colOff>
      <xdr:row>33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C54B266-1376-45D8-811C-CB8141C894AC}"/>
            </a:ext>
          </a:extLst>
        </xdr:cNvPr>
        <xdr:cNvSpPr txBox="1"/>
      </xdr:nvSpPr>
      <xdr:spPr>
        <a:xfrm>
          <a:off x="23786" y="436558"/>
          <a:ext cx="4235683" cy="57102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 i="1">
              <a:solidFill>
                <a:schemeClr val="accent5">
                  <a:lumMod val="75000"/>
                </a:schemeClr>
              </a:solidFill>
            </a:rPr>
            <a:t>Welcome</a:t>
          </a:r>
          <a:r>
            <a:rPr lang="en-US" sz="1400" b="1" i="1" baseline="0">
              <a:solidFill>
                <a:schemeClr val="accent5">
                  <a:lumMod val="75000"/>
                </a:schemeClr>
              </a:solidFill>
            </a:rPr>
            <a:t> to the Analog Design Toolkit!</a:t>
          </a:r>
        </a:p>
        <a:p>
          <a:endParaRPr lang="en-US" sz="1200" baseline="0"/>
        </a:p>
        <a:p>
          <a:r>
            <a:rPr lang="en-US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Why this Toolkit?</a:t>
          </a:r>
          <a:endParaRPr lang="en-US" sz="1200">
            <a:effectLst/>
          </a:endParaRPr>
        </a:p>
        <a:p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Over the years, many analog designs required a set of essential calculations. To save time, this collection grew steadily from </a:t>
          </a:r>
          <a:b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key formulas that I could use as-is or modify as needed</a:t>
          </a: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sz="1200">
            <a:effectLst/>
          </a:endParaRPr>
        </a:p>
        <a:p>
          <a:endParaRPr lang="en-US" sz="12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Overview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- 25 key analog circuits / concepts</a:t>
          </a:r>
          <a:endParaRPr lang="en-US" sz="1200">
            <a:effectLst/>
          </a:endParaRPr>
        </a:p>
        <a:p>
          <a:r>
            <a:rPr lang="en-US" sz="1200" baseline="0"/>
            <a:t>- Excel calculations ready for your project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Handy reference of circuit theory / equations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Hands-On Design</a:t>
          </a:r>
          <a:endParaRPr lang="en-US" sz="1200" i="1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</a:t>
          </a:r>
          <a:r>
            <a:rPr lang="en-US" sz="1200" baseline="0"/>
            <a:t>opy a template into your own design sheet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/>
            <a:t>- Apply, modify or expand as needed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i="1" baseline="0"/>
            <a:t>Interactive Learning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Change values, Predict outcome, Observe results</a:t>
          </a:r>
          <a:endParaRPr lang="en-US" sz="1200">
            <a:effectLst/>
          </a:endParaRPr>
        </a:p>
        <a:p>
          <a:r>
            <a:rPr lang="en-US" sz="1200" baseline="0"/>
            <a:t>- Play, experiment, develop intuition </a:t>
          </a:r>
        </a:p>
        <a:p>
          <a:endParaRPr lang="en-US" sz="1200" baseline="0"/>
        </a:p>
        <a:p>
          <a:r>
            <a:rPr lang="en-US" sz="1200" i="1" baseline="0"/>
            <a:t>Bonus - Key formulas created in MS Equation Editor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Copy easily into your documentation</a:t>
          </a:r>
          <a:endParaRPr lang="en-US" sz="1200">
            <a:effectLst/>
          </a:endParaRPr>
        </a:p>
        <a:p>
          <a:r>
            <a:rPr lang="en-US" sz="1200" baseline="0"/>
            <a:t>- Provides clearer visual understanding</a:t>
          </a:r>
        </a:p>
        <a:p>
          <a:endParaRPr lang="en-US" sz="12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Expand and build your own tool kit!</a:t>
          </a:r>
          <a:endParaRPr lang="en-US" sz="1200">
            <a:effectLst/>
          </a:endParaRPr>
        </a:p>
        <a:p>
          <a:endParaRPr lang="en-US" sz="1200" baseline="0"/>
        </a:p>
        <a:p>
          <a:r>
            <a:rPr lang="en-US" sz="1200" baseline="0"/>
            <a:t>What do you find helpful? Other comments? Let me know!</a:t>
          </a:r>
        </a:p>
        <a:p>
          <a:r>
            <a:rPr lang="en-US" sz="1200" i="1" baseline="0">
              <a:solidFill>
                <a:srgbClr val="7030A0"/>
              </a:solidFill>
            </a:rPr>
            <a:t>www.ecircuitcenter.com/contact.htm</a:t>
          </a:r>
        </a:p>
        <a:p>
          <a:endParaRPr lang="en-US" sz="1200" baseline="0"/>
        </a:p>
        <a:p>
          <a:endParaRPr lang="en-US" sz="12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17930</xdr:colOff>
      <xdr:row>6</xdr:row>
      <xdr:rowOff>98613</xdr:rowOff>
    </xdr:from>
    <xdr:to>
      <xdr:col>10</xdr:col>
      <xdr:colOff>23792</xdr:colOff>
      <xdr:row>15</xdr:row>
      <xdr:rowOff>161366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C9C1260-079B-5AE0-E4C5-35D23D8FC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6895" y="1586754"/>
          <a:ext cx="3053862" cy="1676400"/>
        </a:xfrm>
        <a:prstGeom prst="rect">
          <a:avLst/>
        </a:prstGeom>
      </xdr:spPr>
    </xdr:pic>
    <xdr:clientData/>
  </xdr:twoCellAnchor>
  <xdr:twoCellAnchor editAs="oneCell">
    <xdr:from>
      <xdr:col>5</xdr:col>
      <xdr:colOff>35859</xdr:colOff>
      <xdr:row>21</xdr:row>
      <xdr:rowOff>53788</xdr:rowOff>
    </xdr:from>
    <xdr:to>
      <xdr:col>10</xdr:col>
      <xdr:colOff>89647</xdr:colOff>
      <xdr:row>29</xdr:row>
      <xdr:rowOff>57429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9FCD0D8-B106-6BC3-0F24-65BD98D00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54824" y="3155576"/>
          <a:ext cx="3101788" cy="1437994"/>
        </a:xfrm>
        <a:prstGeom prst="rect">
          <a:avLst/>
        </a:prstGeom>
      </xdr:spPr>
    </xdr:pic>
    <xdr:clientData/>
  </xdr:twoCellAnchor>
  <xdr:oneCellAnchor>
    <xdr:from>
      <xdr:col>1</xdr:col>
      <xdr:colOff>17929</xdr:colOff>
      <xdr:row>13</xdr:row>
      <xdr:rowOff>1</xdr:rowOff>
    </xdr:from>
    <xdr:ext cx="2133600" cy="50603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BF3FA2ED-D6ED-4F23-80A5-DEEAAA30200E}"/>
                </a:ext>
              </a:extLst>
            </xdr:cNvPr>
            <xdr:cNvSpPr txBox="1"/>
          </xdr:nvSpPr>
          <xdr:spPr>
            <a:xfrm>
              <a:off x="968188" y="2384613"/>
              <a:ext cx="2133600" cy="506036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𝑑𝑉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𝑑𝑡</m:t>
                        </m:r>
                      </m:den>
                    </m:f>
                    <m:r>
                      <a:rPr lang="en-US" sz="1100" b="0" i="1">
                        <a:latin typeface="Cambria Math" panose="02040503050406030204" pitchFamily="18" charset="0"/>
                      </a:rPr>
                      <m:t>𝑚𝑎𝑥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=2∙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𝜋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𝑓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𝑉𝑝𝑒𝑎𝑘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BF3FA2ED-D6ED-4F23-80A5-DEEAAA30200E}"/>
                </a:ext>
              </a:extLst>
            </xdr:cNvPr>
            <xdr:cNvSpPr txBox="1"/>
          </xdr:nvSpPr>
          <xdr:spPr>
            <a:xfrm>
              <a:off x="968188" y="2384613"/>
              <a:ext cx="2133600" cy="506036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𝑑𝑉/𝑑𝑡 𝑚𝑎𝑥=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2∙𝜋∙𝑓∙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𝑉𝑝𝑒𝑎𝑘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17929</xdr:colOff>
      <xdr:row>29</xdr:row>
      <xdr:rowOff>62754</xdr:rowOff>
    </xdr:from>
    <xdr:ext cx="1739153" cy="50603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A98B4966-586B-A24E-1B82-991BF4F6D72A}"/>
                </a:ext>
              </a:extLst>
            </xdr:cNvPr>
            <xdr:cNvSpPr txBox="1"/>
          </xdr:nvSpPr>
          <xdr:spPr>
            <a:xfrm>
              <a:off x="968188" y="5316072"/>
              <a:ext cx="1739153" cy="506036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𝑑𝑉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𝑑𝑡</m:t>
                        </m:r>
                      </m:den>
                    </m:f>
                    <m:r>
                      <a:rPr lang="en-US" sz="1100" b="0" i="1">
                        <a:latin typeface="Cambria Math" panose="02040503050406030204" pitchFamily="18" charset="0"/>
                      </a:rPr>
                      <m:t>𝑚𝑎𝑥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𝑉𝑠𝑡𝑒𝑝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𝑇𝑎𝑢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A98B4966-586B-A24E-1B82-991BF4F6D72A}"/>
                </a:ext>
              </a:extLst>
            </xdr:cNvPr>
            <xdr:cNvSpPr txBox="1"/>
          </xdr:nvSpPr>
          <xdr:spPr>
            <a:xfrm>
              <a:off x="968188" y="5316072"/>
              <a:ext cx="1739153" cy="506036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𝑑𝑉/𝑑𝑡 𝑚𝑎𝑥=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𝑉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𝑠𝑡𝑒𝑝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𝑇𝑎𝑢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590061</xdr:colOff>
      <xdr:row>26</xdr:row>
      <xdr:rowOff>104532</xdr:rowOff>
    </xdr:from>
    <xdr:ext cx="1794227" cy="54924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544BC891-68EE-4F6C-8D49-0B22E60E50CA}"/>
                </a:ext>
              </a:extLst>
            </xdr:cNvPr>
            <xdr:cNvSpPr txBox="1"/>
          </xdr:nvSpPr>
          <xdr:spPr>
            <a:xfrm>
              <a:off x="3896478" y="4418115"/>
              <a:ext cx="1794227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𝐾𝑝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4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3+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4</m:t>
                        </m:r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2+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1</m:t>
                        </m:r>
                      </m:den>
                    </m:f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544BC891-68EE-4F6C-8D49-0B22E60E50CA}"/>
                </a:ext>
              </a:extLst>
            </xdr:cNvPr>
            <xdr:cNvSpPr txBox="1"/>
          </xdr:nvSpPr>
          <xdr:spPr>
            <a:xfrm>
              <a:off x="3896478" y="4418115"/>
              <a:ext cx="1794227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𝐾𝑝=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𝑅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/(𝑅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3+𝑅4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</a:t>
              </a:r>
              <a:r>
                <a:rPr lang="en-US" sz="1200" b="0" i="0">
                  <a:latin typeface="Cambria Math" panose="02040503050406030204" pitchFamily="18" charset="0"/>
                </a:rPr>
                <a:t>(𝑅2+𝑅1)/𝑅1</a:t>
              </a:r>
              <a:endParaRPr lang="en-US" sz="1200"/>
            </a:p>
          </xdr:txBody>
        </xdr:sp>
      </mc:Fallback>
    </mc:AlternateContent>
    <xdr:clientData/>
  </xdr:oneCellAnchor>
  <xdr:oneCellAnchor>
    <xdr:from>
      <xdr:col>6</xdr:col>
      <xdr:colOff>11253</xdr:colOff>
      <xdr:row>29</xdr:row>
      <xdr:rowOff>102584</xdr:rowOff>
    </xdr:from>
    <xdr:ext cx="1794227" cy="54924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7C4DCAE5-77EF-BFE8-F591-629E8C0CA262}"/>
                </a:ext>
              </a:extLst>
            </xdr:cNvPr>
            <xdr:cNvSpPr txBox="1"/>
          </xdr:nvSpPr>
          <xdr:spPr>
            <a:xfrm>
              <a:off x="3740571" y="5176608"/>
              <a:ext cx="1794227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𝐾𝑛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=−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den>
                    </m:f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7C4DCAE5-77EF-BFE8-F591-629E8C0CA262}"/>
                </a:ext>
              </a:extLst>
            </xdr:cNvPr>
            <xdr:cNvSpPr txBox="1"/>
          </xdr:nvSpPr>
          <xdr:spPr>
            <a:xfrm>
              <a:off x="3740571" y="5176608"/>
              <a:ext cx="1794227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𝐾𝑛=−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𝑅2/𝑅1</a:t>
              </a:r>
              <a:endParaRPr lang="en-US" sz="1200"/>
            </a:p>
          </xdr:txBody>
        </xdr:sp>
      </mc:Fallback>
    </mc:AlternateContent>
    <xdr:clientData/>
  </xdr:oneCellAnchor>
  <xdr:twoCellAnchor editAs="oneCell">
    <xdr:from>
      <xdr:col>1</xdr:col>
      <xdr:colOff>9772</xdr:colOff>
      <xdr:row>4</xdr:row>
      <xdr:rowOff>92808</xdr:rowOff>
    </xdr:from>
    <xdr:to>
      <xdr:col>5</xdr:col>
      <xdr:colOff>512915</xdr:colOff>
      <xdr:row>15</xdr:row>
      <xdr:rowOff>80682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0ECBA0-04F1-FCB5-FC9A-1DA973F6F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2125" y="863773"/>
          <a:ext cx="2959472" cy="1960109"/>
        </a:xfrm>
        <a:prstGeom prst="rect">
          <a:avLst/>
        </a:prstGeom>
      </xdr:spPr>
    </xdr:pic>
    <xdr:clientData/>
  </xdr:twoCellAnchor>
  <xdr:oneCellAnchor>
    <xdr:from>
      <xdr:col>5</xdr:col>
      <xdr:colOff>527309</xdr:colOff>
      <xdr:row>33</xdr:row>
      <xdr:rowOff>68673</xdr:rowOff>
    </xdr:from>
    <xdr:ext cx="4743939" cy="54924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3425FACA-10D0-F40F-AF11-B7621B957B81}"/>
                </a:ext>
              </a:extLst>
            </xdr:cNvPr>
            <xdr:cNvSpPr txBox="1"/>
          </xdr:nvSpPr>
          <xdr:spPr>
            <a:xfrm>
              <a:off x="3655991" y="5859873"/>
              <a:ext cx="4743939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𝑉𝑜𝑢𝑡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𝑉𝑖𝑛𝑝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𝑉𝑐𝑚</m:t>
                        </m:r>
                      </m:e>
                    </m:d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4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3+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4</m:t>
                        </m:r>
                      </m:den>
                    </m:f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2+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den>
                    </m:f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d>
                      <m:d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𝑉𝑖𝑛𝑝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𝑉𝑐𝑚</m:t>
                        </m:r>
                      </m:e>
                    </m:d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∙−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den>
                    </m:f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3425FACA-10D0-F40F-AF11-B7621B957B81}"/>
                </a:ext>
              </a:extLst>
            </xdr:cNvPr>
            <xdr:cNvSpPr txBox="1"/>
          </xdr:nvSpPr>
          <xdr:spPr>
            <a:xfrm>
              <a:off x="3655991" y="5859873"/>
              <a:ext cx="4743939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𝑉𝑜𝑢𝑡=(𝑉𝑖𝑛𝑝−𝑉𝑐𝑚)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𝑅4/(𝑅3+𝑅4)∙(𝑅2+𝑅1)/𝑅1+(𝑉𝑖𝑛𝑝−𝑉𝑐𝑚)∙−𝑅2/𝑅1</a:t>
              </a:r>
              <a:endParaRPr lang="en-US" sz="1200"/>
            </a:p>
          </xdr:txBody>
        </xdr:sp>
      </mc:Fallback>
    </mc:AlternateContent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600809</xdr:colOff>
      <xdr:row>14</xdr:row>
      <xdr:rowOff>141654</xdr:rowOff>
    </xdr:from>
    <xdr:ext cx="1794565" cy="6486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A380AFBC-F3B4-4C1A-9403-D1F7C4E13EC2}"/>
                </a:ext>
              </a:extLst>
            </xdr:cNvPr>
            <xdr:cNvSpPr txBox="1"/>
          </xdr:nvSpPr>
          <xdr:spPr>
            <a:xfrm>
              <a:off x="3350847" y="2603500"/>
              <a:ext cx="1794565" cy="64863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∆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𝑉𝑜𝑢𝑡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=−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den>
                    </m:f>
                    <m:nary>
                      <m:naryPr>
                        <m:limLoc m:val="undOvr"/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4"/>
                          </m:rPr>
                          <a:rPr lang="en-US" sz="1200" b="0" i="1">
                            <a:latin typeface="Cambria Math" panose="02040503050406030204" pitchFamily="18" charset="0"/>
                          </a:rPr>
                          <m:t>0</m:t>
                        </m:r>
                      </m:sub>
                      <m:sup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𝑡</m:t>
                        </m:r>
                      </m:sup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𝐼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𝐶</m:t>
                            </m:r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</m:e>
                    </m:nary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𝑑𝑡</m:t>
                    </m:r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A380AFBC-F3B4-4C1A-9403-D1F7C4E13EC2}"/>
                </a:ext>
              </a:extLst>
            </xdr:cNvPr>
            <xdr:cNvSpPr txBox="1"/>
          </xdr:nvSpPr>
          <xdr:spPr>
            <a:xfrm>
              <a:off x="3350847" y="2603500"/>
              <a:ext cx="1794565" cy="64863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∆</a:t>
              </a:r>
              <a:r>
                <a:rPr lang="en-US" sz="1200" b="0" i="0">
                  <a:latin typeface="Cambria Math" panose="02040503050406030204" pitchFamily="18" charset="0"/>
                </a:rPr>
                <a:t>𝑉𝑜𝑢𝑡=−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1/𝐶1</a:t>
              </a:r>
              <a:r>
                <a:rPr lang="en-US" sz="12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en-US" sz="1200" b="0" i="0">
                  <a:latin typeface="Cambria Math" panose="02040503050406030204" pitchFamily="18" charset="0"/>
                </a:rPr>
                <a:t>∫1_0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^∆𝑡▒𝐼_𝐶1 ∙𝑑𝑡</a:t>
              </a:r>
              <a:endParaRPr lang="en-US" sz="1200"/>
            </a:p>
          </xdr:txBody>
        </xdr:sp>
      </mc:Fallback>
    </mc:AlternateContent>
    <xdr:clientData/>
  </xdr:oneCellAnchor>
  <xdr:oneCellAnchor>
    <xdr:from>
      <xdr:col>4</xdr:col>
      <xdr:colOff>592738</xdr:colOff>
      <xdr:row>18</xdr:row>
      <xdr:rowOff>42050</xdr:rowOff>
    </xdr:from>
    <xdr:ext cx="3191565" cy="6486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35916D80-CE9B-4FBF-B498-71BC78FCD98C}"/>
                </a:ext>
              </a:extLst>
            </xdr:cNvPr>
            <xdr:cNvSpPr txBox="1"/>
          </xdr:nvSpPr>
          <xdr:spPr>
            <a:xfrm>
              <a:off x="3342776" y="3270781"/>
              <a:ext cx="3191565" cy="64863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∆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𝑉𝑜𝑢𝑡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=−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den>
                    </m:f>
                    <m:sSub>
                      <m:sSub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𝐼</m:t>
                        </m:r>
                      </m:e>
                      <m:sub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∙∆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𝑡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   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𝑓𝑜𝑟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𝑎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𝑓𝑖𝑥𝑒𝑑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𝐷𝐶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𝑖𝑛𝑝𝑢𝑡</m:t>
                    </m:r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35916D80-CE9B-4FBF-B498-71BC78FCD98C}"/>
                </a:ext>
              </a:extLst>
            </xdr:cNvPr>
            <xdr:cNvSpPr txBox="1"/>
          </xdr:nvSpPr>
          <xdr:spPr>
            <a:xfrm>
              <a:off x="3342776" y="3270781"/>
              <a:ext cx="3191565" cy="64863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∆</a:t>
              </a:r>
              <a:r>
                <a:rPr lang="en-US" sz="1200" b="0" i="0">
                  <a:latin typeface="Cambria Math" panose="02040503050406030204" pitchFamily="18" charset="0"/>
                </a:rPr>
                <a:t>𝑉𝑜𝑢𝑡=−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1/𝐶1 〖∙𝐼〗_𝐶1∙∆𝑡    𝑓𝑜𝑟 𝑎 𝑓𝑖𝑥𝑒𝑑 𝐷𝐶 𝑖𝑛𝑝𝑢𝑡</a:t>
              </a:r>
              <a:endParaRPr lang="en-US" sz="1200"/>
            </a:p>
          </xdr:txBody>
        </xdr:sp>
      </mc:Fallback>
    </mc:AlternateContent>
    <xdr:clientData/>
  </xdr:oneCellAnchor>
  <xdr:oneCellAnchor>
    <xdr:from>
      <xdr:col>4</xdr:col>
      <xdr:colOff>609643</xdr:colOff>
      <xdr:row>23</xdr:row>
      <xdr:rowOff>34321</xdr:rowOff>
    </xdr:from>
    <xdr:ext cx="3191565" cy="6486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9C00EC71-5F22-4052-6801-79B94C5B8515}"/>
                </a:ext>
              </a:extLst>
            </xdr:cNvPr>
            <xdr:cNvSpPr txBox="1"/>
          </xdr:nvSpPr>
          <xdr:spPr>
            <a:xfrm>
              <a:off x="3359681" y="4005513"/>
              <a:ext cx="3191565" cy="64863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∆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𝑉𝑜𝑢𝑡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=−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den>
                    </m:f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𝑉𝑖𝑛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den>
                    </m:f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∙∆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𝑡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   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𝑓𝑜𝑟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𝑎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𝑓𝑖𝑥𝑒𝑑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𝐷𝐶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𝑖𝑛𝑝𝑢𝑡</m:t>
                    </m:r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9C00EC71-5F22-4052-6801-79B94C5B8515}"/>
                </a:ext>
              </a:extLst>
            </xdr:cNvPr>
            <xdr:cNvSpPr txBox="1"/>
          </xdr:nvSpPr>
          <xdr:spPr>
            <a:xfrm>
              <a:off x="3359681" y="4005513"/>
              <a:ext cx="3191565" cy="64863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∆</a:t>
              </a:r>
              <a:r>
                <a:rPr lang="en-US" sz="1200" b="0" i="0">
                  <a:latin typeface="Cambria Math" panose="02040503050406030204" pitchFamily="18" charset="0"/>
                </a:rPr>
                <a:t>𝑉𝑜𝑢𝑡=−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1/𝐶1  𝑉𝑖𝑛/𝑅1∙∆𝑡    𝑓𝑜𝑟 𝑎 𝑓𝑖𝑥𝑒𝑑 𝐷𝐶 𝑖𝑛𝑝𝑢𝑡</a:t>
              </a:r>
              <a:endParaRPr lang="en-US" sz="1200"/>
            </a:p>
          </xdr:txBody>
        </xdr:sp>
      </mc:Fallback>
    </mc:AlternateContent>
    <xdr:clientData/>
  </xdr:oneCellAnchor>
  <xdr:twoCellAnchor editAs="oneCell">
    <xdr:from>
      <xdr:col>1</xdr:col>
      <xdr:colOff>0</xdr:colOff>
      <xdr:row>4</xdr:row>
      <xdr:rowOff>9600</xdr:rowOff>
    </xdr:from>
    <xdr:to>
      <xdr:col>8</xdr:col>
      <xdr:colOff>160482</xdr:colOff>
      <xdr:row>13</xdr:row>
      <xdr:rowOff>48845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8FF2D2B-FB71-220F-7EC5-3D25D9478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923" y="800908"/>
          <a:ext cx="4522444" cy="170978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600809</xdr:colOff>
      <xdr:row>14</xdr:row>
      <xdr:rowOff>141654</xdr:rowOff>
    </xdr:from>
    <xdr:ext cx="1977843" cy="6486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3FB1CCBC-139D-4F36-BAA3-65E326CC86A7}"/>
                </a:ext>
              </a:extLst>
            </xdr:cNvPr>
            <xdr:cNvSpPr txBox="1"/>
          </xdr:nvSpPr>
          <xdr:spPr>
            <a:xfrm>
              <a:off x="3356157" y="2747915"/>
              <a:ext cx="1977843" cy="64863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𝑉𝑜𝑢𝑡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=−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𝑑𝑉𝑖𝑛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𝑑𝑡</m:t>
                        </m:r>
                      </m:den>
                    </m:f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𝐶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1∙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𝑅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1 </m:t>
                    </m:r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3FB1CCBC-139D-4F36-BAA3-65E326CC86A7}"/>
                </a:ext>
              </a:extLst>
            </xdr:cNvPr>
            <xdr:cNvSpPr txBox="1"/>
          </xdr:nvSpPr>
          <xdr:spPr>
            <a:xfrm>
              <a:off x="3356157" y="2747915"/>
              <a:ext cx="1977843" cy="64863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𝑉𝑜𝑢𝑡=−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𝑑𝑉𝑖𝑛/𝑑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𝑡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∙𝐶1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∙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𝑅1 </a:t>
              </a:r>
              <a:endParaRPr lang="en-US" sz="1200"/>
            </a:p>
          </xdr:txBody>
        </xdr:sp>
      </mc:Fallback>
    </mc:AlternateContent>
    <xdr:clientData/>
  </xdr:oneCellAnchor>
  <xdr:oneCellAnchor>
    <xdr:from>
      <xdr:col>4</xdr:col>
      <xdr:colOff>582035</xdr:colOff>
      <xdr:row>18</xdr:row>
      <xdr:rowOff>40054</xdr:rowOff>
    </xdr:from>
    <xdr:ext cx="3358278" cy="6486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67006A44-ADAB-F485-488D-12551B6251FD}"/>
                </a:ext>
              </a:extLst>
            </xdr:cNvPr>
            <xdr:cNvSpPr txBox="1"/>
          </xdr:nvSpPr>
          <xdr:spPr>
            <a:xfrm>
              <a:off x="3337383" y="3402793"/>
              <a:ext cx="3358278" cy="64863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𝑉𝑜𝑢𝑡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=−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𝑉𝑖𝑛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𝑡</m:t>
                        </m:r>
                      </m:den>
                    </m:f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𝐶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1∙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𝑅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1   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𝑓𝑜𝑟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𝑎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𝑓𝑖𝑥𝑒𝑑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𝑠𝑙𝑜𝑝𝑒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𝑖𝑛𝑝𝑢𝑡</m:t>
                    </m:r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67006A44-ADAB-F485-488D-12551B6251FD}"/>
                </a:ext>
              </a:extLst>
            </xdr:cNvPr>
            <xdr:cNvSpPr txBox="1"/>
          </xdr:nvSpPr>
          <xdr:spPr>
            <a:xfrm>
              <a:off x="3337383" y="3402793"/>
              <a:ext cx="3358278" cy="64863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𝑉𝑜𝑢𝑡=−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∆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𝑉𝑖𝑛/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∆𝑡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∙𝐶1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∙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𝑅1   𝑓𝑜𝑟 𝑎 𝑓𝑖𝑥𝑒𝑑 𝑠𝑙𝑜𝑝𝑒 𝑖𝑛𝑝𝑢𝑡</a:t>
              </a:r>
              <a:endParaRPr lang="en-US" sz="1200"/>
            </a:p>
          </xdr:txBody>
        </xdr:sp>
      </mc:Fallback>
    </mc:AlternateContent>
    <xdr:clientData/>
  </xdr:oneCellAnchor>
  <xdr:twoCellAnchor editAs="oneCell">
    <xdr:from>
      <xdr:col>1</xdr:col>
      <xdr:colOff>66262</xdr:colOff>
      <xdr:row>4</xdr:row>
      <xdr:rowOff>110434</xdr:rowOff>
    </xdr:from>
    <xdr:to>
      <xdr:col>7</xdr:col>
      <xdr:colOff>560999</xdr:colOff>
      <xdr:row>13</xdr:row>
      <xdr:rowOff>5521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D220F8F-5A19-2B59-BD53-4AF40ED9A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6610" y="894521"/>
          <a:ext cx="4255041" cy="153504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1089907</xdr:colOff>
      <xdr:row>17</xdr:row>
      <xdr:rowOff>24298</xdr:rowOff>
    </xdr:from>
    <xdr:ext cx="1972143" cy="53123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B4470F0E-73BE-4E87-AB4C-9F75CE176C60}"/>
                </a:ext>
              </a:extLst>
            </xdr:cNvPr>
            <xdr:cNvSpPr txBox="1"/>
          </xdr:nvSpPr>
          <xdr:spPr>
            <a:xfrm>
              <a:off x="2058095" y="3126086"/>
              <a:ext cx="1972143" cy="531236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𝐴𝐷𝐶𝑤𝑜𝑟𝑑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𝑉𝑖𝑛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𝑉𝑟𝑒𝑓</m:t>
                        </m:r>
                      </m:den>
                    </m:f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∙(</m:t>
                    </m:r>
                    <m:sSup>
                      <m:s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𝑁</m:t>
                        </m:r>
                      </m:sup>
                    </m:sSup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−1)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B4470F0E-73BE-4E87-AB4C-9F75CE176C60}"/>
                </a:ext>
              </a:extLst>
            </xdr:cNvPr>
            <xdr:cNvSpPr txBox="1"/>
          </xdr:nvSpPr>
          <xdr:spPr>
            <a:xfrm>
              <a:off x="2058095" y="3126086"/>
              <a:ext cx="1972143" cy="531236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𝐴𝐷𝐶𝑤𝑜𝑟𝑑=  𝑉𝑖𝑛/𝑉𝑟𝑒𝑓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∙(2^𝑁−1)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</xdr:col>
      <xdr:colOff>34411</xdr:colOff>
      <xdr:row>29</xdr:row>
      <xdr:rowOff>25661</xdr:rowOff>
    </xdr:from>
    <xdr:ext cx="1660904" cy="53610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AEB49829-12E7-4B88-A1B9-BADA382D89E5}"/>
                </a:ext>
              </a:extLst>
            </xdr:cNvPr>
            <xdr:cNvSpPr txBox="1"/>
          </xdr:nvSpPr>
          <xdr:spPr>
            <a:xfrm>
              <a:off x="2096293" y="5278979"/>
              <a:ext cx="1660904" cy="536109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𝑉𝑖𝑛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𝐴𝐷𝐶𝑤𝑜𝑟𝑑</m:t>
                        </m:r>
                      </m:num>
                      <m:den>
                        <m:sSup>
                          <m:sSup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(2</m:t>
                            </m:r>
                          </m:e>
                          <m:sup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𝑁</m:t>
                            </m:r>
                          </m:sup>
                        </m:sSup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−1)</m:t>
                        </m:r>
                      </m:den>
                    </m:f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</m:t>
                    </m:r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𝑉𝑟𝑒𝑓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AEB49829-12E7-4B88-A1B9-BADA382D89E5}"/>
                </a:ext>
              </a:extLst>
            </xdr:cNvPr>
            <xdr:cNvSpPr txBox="1"/>
          </xdr:nvSpPr>
          <xdr:spPr>
            <a:xfrm>
              <a:off x="2096293" y="5278979"/>
              <a:ext cx="1660904" cy="536109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𝑉𝑖𝑛=  𝐴𝐷𝐶𝑤𝑜𝑟𝑑/(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〖(2〗^𝑁−1)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∙𝑉𝑟𝑒𝑓</a:t>
              </a:r>
              <a:endParaRPr lang="en-US" sz="1100"/>
            </a:p>
          </xdr:txBody>
        </xdr:sp>
      </mc:Fallback>
    </mc:AlternateContent>
    <xdr:clientData/>
  </xdr:oneCellAnchor>
  <xdr:twoCellAnchor editAs="oneCell">
    <xdr:from>
      <xdr:col>1</xdr:col>
      <xdr:colOff>19041</xdr:colOff>
      <xdr:row>4</xdr:row>
      <xdr:rowOff>16566</xdr:rowOff>
    </xdr:from>
    <xdr:to>
      <xdr:col>5</xdr:col>
      <xdr:colOff>187740</xdr:colOff>
      <xdr:row>11</xdr:row>
      <xdr:rowOff>12307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5AE1D9-0D74-A074-2EEA-97867B8BE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1911" y="800653"/>
          <a:ext cx="3106264" cy="127126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1048480</xdr:colOff>
      <xdr:row>18</xdr:row>
      <xdr:rowOff>0</xdr:rowOff>
    </xdr:from>
    <xdr:ext cx="1743105" cy="50494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3C967E34-3DE3-4006-83BE-30CCFD7F69F2}"/>
                </a:ext>
              </a:extLst>
            </xdr:cNvPr>
            <xdr:cNvSpPr txBox="1"/>
          </xdr:nvSpPr>
          <xdr:spPr>
            <a:xfrm>
              <a:off x="2016668" y="3039880"/>
              <a:ext cx="1743105" cy="504946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𝑉𝑜𝑢𝑡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𝐷𝐴𝐶𝑤𝑜𝑟𝑑</m:t>
                        </m:r>
                      </m:num>
                      <m:den>
                        <m:sSup>
                          <m:sSup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e>
                          <m:sup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𝑁</m:t>
                            </m:r>
                          </m:sup>
                        </m:sSup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−1</m:t>
                        </m:r>
                      </m:den>
                    </m:f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𝑉𝑟𝑒𝑓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3C967E34-3DE3-4006-83BE-30CCFD7F69F2}"/>
                </a:ext>
              </a:extLst>
            </xdr:cNvPr>
            <xdr:cNvSpPr txBox="1"/>
          </xdr:nvSpPr>
          <xdr:spPr>
            <a:xfrm>
              <a:off x="2016668" y="3039880"/>
              <a:ext cx="1743105" cy="504946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𝑉𝑜𝑢𝑡=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𝐷𝐴𝐶𝑤𝑜𝑟𝑑/(2^𝑁−1)∙𝑉𝑟𝑒𝑓</a:t>
              </a:r>
              <a:endParaRPr lang="en-US" sz="1100"/>
            </a:p>
          </xdr:txBody>
        </xdr:sp>
      </mc:Fallback>
    </mc:AlternateContent>
    <xdr:clientData/>
  </xdr:oneCellAnchor>
  <xdr:twoCellAnchor editAs="oneCell">
    <xdr:from>
      <xdr:col>1</xdr:col>
      <xdr:colOff>19471</xdr:colOff>
      <xdr:row>4</xdr:row>
      <xdr:rowOff>65546</xdr:rowOff>
    </xdr:from>
    <xdr:to>
      <xdr:col>5</xdr:col>
      <xdr:colOff>103723</xdr:colOff>
      <xdr:row>11</xdr:row>
      <xdr:rowOff>125505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30F27B-2387-7A5C-B2AD-466709A3E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659" y="836511"/>
          <a:ext cx="3006746" cy="1315018"/>
        </a:xfrm>
        <a:prstGeom prst="rect">
          <a:avLst/>
        </a:prstGeom>
      </xdr:spPr>
    </xdr:pic>
    <xdr:clientData/>
  </xdr:twoCellAnchor>
  <xdr:oneCellAnchor>
    <xdr:from>
      <xdr:col>2</xdr:col>
      <xdr:colOff>44824</xdr:colOff>
      <xdr:row>29</xdr:row>
      <xdr:rowOff>62753</xdr:rowOff>
    </xdr:from>
    <xdr:ext cx="1961626" cy="53123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2386E75C-A920-4B48-A2A1-C17EF889BF68}"/>
                </a:ext>
              </a:extLst>
            </xdr:cNvPr>
            <xdr:cNvSpPr txBox="1"/>
          </xdr:nvSpPr>
          <xdr:spPr>
            <a:xfrm>
              <a:off x="2106706" y="5316071"/>
              <a:ext cx="1961626" cy="531236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n-US" sz="1100" b="0" i="0">
                        <a:latin typeface="Cambria Math" panose="02040503050406030204" pitchFamily="18" charset="0"/>
                      </a:rPr>
                      <m:t>DAC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𝑤𝑜𝑟𝑑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𝑉𝑜𝑢𝑡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𝑉𝑟𝑒𝑓</m:t>
                        </m:r>
                      </m:den>
                    </m:f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∙(</m:t>
                    </m:r>
                    <m:sSup>
                      <m:s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𝑁</m:t>
                        </m:r>
                      </m:sup>
                    </m:sSup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−1)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2386E75C-A920-4B48-A2A1-C17EF889BF68}"/>
                </a:ext>
              </a:extLst>
            </xdr:cNvPr>
            <xdr:cNvSpPr txBox="1"/>
          </xdr:nvSpPr>
          <xdr:spPr>
            <a:xfrm>
              <a:off x="2106706" y="5316071"/>
              <a:ext cx="1961626" cy="531236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DAC𝑤𝑜𝑟𝑑=  𝑉𝑜𝑢𝑡/𝑉𝑟𝑒𝑓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∙(2^𝑁−1)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205423</xdr:colOff>
      <xdr:row>7</xdr:row>
      <xdr:rowOff>99530</xdr:rowOff>
    </xdr:from>
    <xdr:ext cx="1794227" cy="54924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1BFBAECC-896D-4B76-89E4-BA8095D11AB2}"/>
                </a:ext>
              </a:extLst>
            </xdr:cNvPr>
            <xdr:cNvSpPr txBox="1"/>
          </xdr:nvSpPr>
          <xdr:spPr>
            <a:xfrm>
              <a:off x="3450647" y="1408377"/>
              <a:ext cx="1794227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𝑉𝑜𝑢𝑡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𝑉𝑟𝑒𝑓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2+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1</m:t>
                        </m:r>
                      </m:den>
                    </m:f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1BFBAECC-896D-4B76-89E4-BA8095D11AB2}"/>
                </a:ext>
              </a:extLst>
            </xdr:cNvPr>
            <xdr:cNvSpPr txBox="1"/>
          </xdr:nvSpPr>
          <xdr:spPr>
            <a:xfrm>
              <a:off x="3450647" y="1408377"/>
              <a:ext cx="1794227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𝑉𝑜𝑢𝑡=𝑉𝑟𝑒𝑓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</a:t>
              </a:r>
              <a:r>
                <a:rPr lang="en-US" sz="1200" b="0" i="0">
                  <a:latin typeface="Cambria Math" panose="02040503050406030204" pitchFamily="18" charset="0"/>
                </a:rPr>
                <a:t>(𝑅2+𝑅1)/𝑅1</a:t>
              </a:r>
              <a:endParaRPr lang="en-US" sz="1200"/>
            </a:p>
          </xdr:txBody>
        </xdr:sp>
      </mc:Fallback>
    </mc:AlternateContent>
    <xdr:clientData/>
  </xdr:oneCellAnchor>
  <xdr:twoCellAnchor editAs="oneCell">
    <xdr:from>
      <xdr:col>1</xdr:col>
      <xdr:colOff>0</xdr:colOff>
      <xdr:row>4</xdr:row>
      <xdr:rowOff>0</xdr:rowOff>
    </xdr:from>
    <xdr:to>
      <xdr:col>4</xdr:col>
      <xdr:colOff>452783</xdr:colOff>
      <xdr:row>15</xdr:row>
      <xdr:rowOff>101232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09BCD1-E0A9-AB7E-FBB4-478A6DB38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348" y="784087"/>
          <a:ext cx="2308087" cy="210562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53283</xdr:colOff>
      <xdr:row>28</xdr:row>
      <xdr:rowOff>0</xdr:rowOff>
    </xdr:from>
    <xdr:ext cx="2898574" cy="44432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6B8E5206-5190-45E4-8314-AC7E17CB58E8}"/>
                </a:ext>
              </a:extLst>
            </xdr:cNvPr>
            <xdr:cNvSpPr txBox="1"/>
          </xdr:nvSpPr>
          <xdr:spPr>
            <a:xfrm>
              <a:off x="2948883" y="4537839"/>
              <a:ext cx="2898574" cy="444329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𝑇𝑗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𝑇𝑎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𝑃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𝑡h𝑒𝑡</m:t>
                    </m:r>
                    <m:sSub>
                      <m:sSub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𝑎</m:t>
                        </m:r>
                      </m:e>
                      <m:sub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𝑗𝑐</m:t>
                        </m:r>
                      </m:sub>
                    </m:sSub>
                    <m:r>
                      <a:rPr lang="en-US" sz="12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𝑡h𝑒𝑡</m:t>
                    </m:r>
                    <m:sSub>
                      <m:sSub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𝑎</m:t>
                        </m:r>
                      </m:e>
                      <m:sub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𝑐𝑎</m:t>
                        </m:r>
                      </m:sub>
                    </m:sSub>
                    <m:r>
                      <a:rPr lang="en-US" sz="12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6B8E5206-5190-45E4-8314-AC7E17CB58E8}"/>
                </a:ext>
              </a:extLst>
            </xdr:cNvPr>
            <xdr:cNvSpPr txBox="1"/>
          </xdr:nvSpPr>
          <xdr:spPr>
            <a:xfrm>
              <a:off x="2948883" y="4537839"/>
              <a:ext cx="2898574" cy="444329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𝑇𝑗=𝑇𝑎+𝑃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</a:t>
              </a:r>
              <a:r>
                <a:rPr lang="en-US" sz="1200" b="0" i="0">
                  <a:latin typeface="Cambria Math" panose="02040503050406030204" pitchFamily="18" charset="0"/>
                </a:rPr>
                <a:t>(𝑡ℎ𝑒𝑡𝑎_𝑗𝑐+𝑡ℎ𝑒𝑡𝑎_𝑐𝑎)</a:t>
              </a:r>
              <a:endParaRPr lang="en-US" sz="1200"/>
            </a:p>
          </xdr:txBody>
        </xdr:sp>
      </mc:Fallback>
    </mc:AlternateContent>
    <xdr:clientData/>
  </xdr:oneCellAnchor>
  <xdr:twoCellAnchor editAs="oneCell">
    <xdr:from>
      <xdr:col>6</xdr:col>
      <xdr:colOff>77302</xdr:colOff>
      <xdr:row>4</xdr:row>
      <xdr:rowOff>171175</xdr:rowOff>
    </xdr:from>
    <xdr:to>
      <xdr:col>9</xdr:col>
      <xdr:colOff>359669</xdr:colOff>
      <xdr:row>11</xdr:row>
      <xdr:rowOff>33131</xdr:rowOff>
    </xdr:to>
    <xdr:pic>
      <xdr:nvPicPr>
        <xdr:cNvPr id="4" name="Picture 3" descr="Monitor Heat Dissipation in Electronic Sy - Maxim Integrated">
          <a:extLst>
            <a:ext uri="{FF2B5EF4-FFF2-40B4-BE49-F238E27FC236}">
              <a16:creationId xmlns:a16="http://schemas.microsoft.com/office/drawing/2014/main" id="{AD0E3F72-8DC1-B030-2A88-79A34DD45E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0" t="6507" r="40834" b="9633"/>
        <a:stretch/>
      </xdr:blipFill>
      <xdr:spPr bwMode="auto">
        <a:xfrm>
          <a:off x="4284867" y="955262"/>
          <a:ext cx="2137673" cy="1137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27609</xdr:colOff>
      <xdr:row>4</xdr:row>
      <xdr:rowOff>127001</xdr:rowOff>
    </xdr:from>
    <xdr:to>
      <xdr:col>5</xdr:col>
      <xdr:colOff>496975</xdr:colOff>
      <xdr:row>13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8F65399-7D31-1837-9932-8D01BEC60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7844" y="897966"/>
          <a:ext cx="2871907" cy="148664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21</xdr:row>
      <xdr:rowOff>155884</xdr:rowOff>
    </xdr:from>
    <xdr:ext cx="1615110" cy="60445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26D2AD25-5F53-4922-A833-445C20E05E69}"/>
                </a:ext>
              </a:extLst>
            </xdr:cNvPr>
            <xdr:cNvSpPr txBox="1"/>
          </xdr:nvSpPr>
          <xdr:spPr>
            <a:xfrm>
              <a:off x="3302000" y="3889684"/>
              <a:ext cx="1615110" cy="604459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𝑉𝑜𝑢𝑡</m:t>
                        </m:r>
                      </m:e>
                      <m:sub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1∙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𝑅𝑝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23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1+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𝑅𝑝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23</m:t>
                        </m:r>
                      </m:den>
                    </m:f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26D2AD25-5F53-4922-A833-445C20E05E69}"/>
                </a:ext>
              </a:extLst>
            </xdr:cNvPr>
            <xdr:cNvSpPr txBox="1"/>
          </xdr:nvSpPr>
          <xdr:spPr>
            <a:xfrm>
              <a:off x="3302000" y="3889684"/>
              <a:ext cx="1615110" cy="604459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〖𝑉𝑜𝑢𝑡〗_1=𝑉1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∙</a:t>
              </a:r>
              <a:r>
                <a:rPr lang="en-US" sz="1200" b="0" i="0">
                  <a:latin typeface="Cambria Math" panose="02040503050406030204" pitchFamily="18" charset="0"/>
                </a:rPr>
                <a:t>𝑅𝑝23/(𝑅1+𝑅𝑝23)</a:t>
              </a:r>
              <a:endParaRPr lang="en-US" sz="1200"/>
            </a:p>
          </xdr:txBody>
        </xdr:sp>
      </mc:Fallback>
    </mc:AlternateContent>
    <xdr:clientData/>
  </xdr:oneCellAnchor>
  <xdr:oneCellAnchor>
    <xdr:from>
      <xdr:col>4</xdr:col>
      <xdr:colOff>609600</xdr:colOff>
      <xdr:row>26</xdr:row>
      <xdr:rowOff>38271</xdr:rowOff>
    </xdr:from>
    <xdr:ext cx="1642946" cy="56249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A0C7D2FB-13D0-12D8-F44F-A93DF81D460E}"/>
                </a:ext>
              </a:extLst>
            </xdr:cNvPr>
            <xdr:cNvSpPr txBox="1"/>
          </xdr:nvSpPr>
          <xdr:spPr>
            <a:xfrm>
              <a:off x="3295650" y="4692821"/>
              <a:ext cx="1642946" cy="562494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𝑉𝑜𝑢𝑡</m:t>
                        </m:r>
                      </m:e>
                      <m:sub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sub>
                    </m:sSub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2∙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𝑅𝑝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13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2+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𝑅𝑝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13</m:t>
                        </m:r>
                      </m:den>
                    </m:f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A0C7D2FB-13D0-12D8-F44F-A93DF81D460E}"/>
                </a:ext>
              </a:extLst>
            </xdr:cNvPr>
            <xdr:cNvSpPr txBox="1"/>
          </xdr:nvSpPr>
          <xdr:spPr>
            <a:xfrm>
              <a:off x="3295650" y="4692821"/>
              <a:ext cx="1642946" cy="562494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〖𝑉𝑜𝑢𝑡〗_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lang="en-US" sz="1200" b="0" i="0">
                  <a:latin typeface="Cambria Math" panose="02040503050406030204" pitchFamily="18" charset="0"/>
                </a:rPr>
                <a:t>=𝑉2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∙</a:t>
              </a:r>
              <a:r>
                <a:rPr lang="en-US" sz="1200" b="0" i="0">
                  <a:latin typeface="Cambria Math" panose="02040503050406030204" pitchFamily="18" charset="0"/>
                </a:rPr>
                <a:t>𝑅𝑝13/(𝑅2+𝑅𝑝13)</a:t>
              </a:r>
              <a:endParaRPr lang="en-US" sz="1200"/>
            </a:p>
          </xdr:txBody>
        </xdr:sp>
      </mc:Fallback>
    </mc:AlternateContent>
    <xdr:clientData/>
  </xdr:oneCellAnchor>
  <xdr:oneCellAnchor>
    <xdr:from>
      <xdr:col>4</xdr:col>
      <xdr:colOff>615949</xdr:colOff>
      <xdr:row>29</xdr:row>
      <xdr:rowOff>95146</xdr:rowOff>
    </xdr:from>
    <xdr:ext cx="1625277" cy="36039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5A443CF9-30DD-5684-08F8-C9A53D9318E9}"/>
                </a:ext>
              </a:extLst>
            </xdr:cNvPr>
            <xdr:cNvSpPr txBox="1"/>
          </xdr:nvSpPr>
          <xdr:spPr>
            <a:xfrm>
              <a:off x="3301999" y="5302146"/>
              <a:ext cx="1625277" cy="360398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𝑉𝑜𝑢𝑡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𝑉𝑜𝑢</m:t>
                    </m:r>
                    <m:sSub>
                      <m:sSub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𝑡</m:t>
                        </m:r>
                      </m:e>
                      <m:sub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a:rPr lang="en-US" sz="1200" b="0" i="1"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𝑉𝑜𝑢𝑡</m:t>
                        </m:r>
                      </m:e>
                      <m:sub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sub>
                    </m:sSub>
                  </m:oMath>
                </m:oMathPara>
              </a14:m>
              <a:endParaRPr lang="en-US" sz="1200"/>
            </a:p>
            <a:p>
              <a:endParaRPr lang="en-US" sz="12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5A443CF9-30DD-5684-08F8-C9A53D9318E9}"/>
                </a:ext>
              </a:extLst>
            </xdr:cNvPr>
            <xdr:cNvSpPr txBox="1"/>
          </xdr:nvSpPr>
          <xdr:spPr>
            <a:xfrm>
              <a:off x="3301999" y="5302146"/>
              <a:ext cx="1625277" cy="360398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𝑉𝑜𝑢𝑡=𝑉𝑜𝑢𝑡_1+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〖𝑉𝑜𝑢𝑡〗_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endParaRPr lang="en-US" sz="1200"/>
            </a:p>
            <a:p>
              <a:pPr/>
              <a:endParaRPr lang="en-US" sz="1200"/>
            </a:p>
          </xdr:txBody>
        </xdr:sp>
      </mc:Fallback>
    </mc:AlternateContent>
    <xdr:clientData/>
  </xdr:oneCellAnchor>
  <xdr:twoCellAnchor editAs="oneCell">
    <xdr:from>
      <xdr:col>1</xdr:col>
      <xdr:colOff>30192</xdr:colOff>
      <xdr:row>4</xdr:row>
      <xdr:rowOff>43330</xdr:rowOff>
    </xdr:from>
    <xdr:to>
      <xdr:col>6</xdr:col>
      <xdr:colOff>22836</xdr:colOff>
      <xdr:row>12</xdr:row>
      <xdr:rowOff>89647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5466F5A-E204-CFA4-992C-E178632B1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0827" y="814295"/>
          <a:ext cx="3219938" cy="148067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71501</xdr:colOff>
      <xdr:row>46</xdr:row>
      <xdr:rowOff>75195</xdr:rowOff>
    </xdr:from>
    <xdr:ext cx="2179320" cy="65532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961C1080-A8FB-4335-BFD3-D4B81F36EA75}"/>
                </a:ext>
              </a:extLst>
            </xdr:cNvPr>
            <xdr:cNvSpPr txBox="1"/>
          </xdr:nvSpPr>
          <xdr:spPr>
            <a:xfrm>
              <a:off x="2535301" y="7860295"/>
              <a:ext cx="2179320" cy="655320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𝐾𝑖𝑛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𝑉𝑏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𝑉𝑠</m:t>
                        </m:r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𝑅𝑖𝑛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𝑅𝑠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𝑅𝑖𝑛</m:t>
                        </m:r>
                      </m:den>
                    </m:f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961C1080-A8FB-4335-BFD3-D4B81F36EA75}"/>
                </a:ext>
              </a:extLst>
            </xdr:cNvPr>
            <xdr:cNvSpPr txBox="1"/>
          </xdr:nvSpPr>
          <xdr:spPr>
            <a:xfrm>
              <a:off x="2535301" y="7860295"/>
              <a:ext cx="2179320" cy="655320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𝐾𝑖𝑛=  𝑉𝑏/𝑉𝑠=𝑅𝑖𝑛/(𝑅𝑠+𝑅𝑖𝑛)</a:t>
              </a:r>
              <a:endParaRPr lang="en-US" sz="1200"/>
            </a:p>
          </xdr:txBody>
        </xdr:sp>
      </mc:Fallback>
    </mc:AlternateContent>
    <xdr:clientData/>
  </xdr:oneCellAnchor>
  <xdr:oneCellAnchor>
    <xdr:from>
      <xdr:col>4</xdr:col>
      <xdr:colOff>60112</xdr:colOff>
      <xdr:row>51</xdr:row>
      <xdr:rowOff>179763</xdr:rowOff>
    </xdr:from>
    <xdr:ext cx="2179320" cy="65532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EC56A36D-3A49-4265-93AE-0EDE0445D3AA}"/>
                </a:ext>
              </a:extLst>
            </xdr:cNvPr>
            <xdr:cNvSpPr txBox="1"/>
          </xdr:nvSpPr>
          <xdr:spPr>
            <a:xfrm>
              <a:off x="2523912" y="8517313"/>
              <a:ext cx="2179320" cy="655320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𝐾𝑜𝑢𝑡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𝑉𝑐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𝑉𝑏</m:t>
                        </m:r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𝑅𝐶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||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𝑅𝑙𝑜𝑎𝑑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𝑅𝑒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1</m:t>
                        </m:r>
                      </m:den>
                    </m:f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EC56A36D-3A49-4265-93AE-0EDE0445D3AA}"/>
                </a:ext>
              </a:extLst>
            </xdr:cNvPr>
            <xdr:cNvSpPr txBox="1"/>
          </xdr:nvSpPr>
          <xdr:spPr>
            <a:xfrm>
              <a:off x="2523912" y="8517313"/>
              <a:ext cx="2179320" cy="655320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𝐾𝑜𝑢𝑡=  𝑉𝑐/𝑉𝑏=(𝑅𝐶||𝑅𝑙𝑜𝑎𝑑)/𝑅𝑒1</a:t>
              </a:r>
              <a:endParaRPr lang="en-US" sz="1200"/>
            </a:p>
          </xdr:txBody>
        </xdr:sp>
      </mc:Fallback>
    </mc:AlternateContent>
    <xdr:clientData/>
  </xdr:oneCellAnchor>
  <xdr:twoCellAnchor editAs="oneCell">
    <xdr:from>
      <xdr:col>2</xdr:col>
      <xdr:colOff>66261</xdr:colOff>
      <xdr:row>4</xdr:row>
      <xdr:rowOff>44174</xdr:rowOff>
    </xdr:from>
    <xdr:to>
      <xdr:col>7</xdr:col>
      <xdr:colOff>381259</xdr:colOff>
      <xdr:row>19</xdr:row>
      <xdr:rowOff>93869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B9BE70B-B7AA-A4A1-0A10-541C5B9A8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3131" y="828261"/>
          <a:ext cx="3407171" cy="27829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87685</xdr:colOff>
      <xdr:row>13</xdr:row>
      <xdr:rowOff>104913</xdr:rowOff>
    </xdr:from>
    <xdr:ext cx="1189428" cy="67928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3675C05-8200-4EBC-A76C-4E24747FBF0D}"/>
                </a:ext>
              </a:extLst>
            </xdr:cNvPr>
            <xdr:cNvSpPr txBox="1"/>
          </xdr:nvSpPr>
          <xdr:spPr>
            <a:xfrm>
              <a:off x="2561424" y="2528956"/>
              <a:ext cx="1189428" cy="679289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𝑅𝑝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f>
                          <m:fPr>
                            <m:ctrlPr>
                              <a:rPr lang="en-US" sz="12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2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num>
                          <m:den>
                            <m:r>
                              <a:rPr lang="en-US" sz="1200" b="0" i="1">
                                <a:latin typeface="Cambria Math" panose="02040503050406030204" pitchFamily="18" charset="0"/>
                              </a:rPr>
                              <m:t>𝑅</m:t>
                            </m:r>
                            <m:r>
                              <a:rPr lang="en-US" sz="12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den>
                        </m:f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+</m:t>
                        </m:r>
                        <m:f>
                          <m:fPr>
                            <m:ctrlPr>
                              <a:rPr lang="en-US" sz="12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2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num>
                          <m:den>
                            <m:r>
                              <a:rPr lang="en-US" sz="1200" b="0" i="1">
                                <a:latin typeface="Cambria Math" panose="02040503050406030204" pitchFamily="18" charset="0"/>
                              </a:rPr>
                              <m:t>𝑅</m:t>
                            </m:r>
                            <m:r>
                              <a:rPr lang="en-US" sz="12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den>
                        </m:f>
                      </m:den>
                    </m:f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3675C05-8200-4EBC-A76C-4E24747FBF0D}"/>
                </a:ext>
              </a:extLst>
            </xdr:cNvPr>
            <xdr:cNvSpPr txBox="1"/>
          </xdr:nvSpPr>
          <xdr:spPr>
            <a:xfrm>
              <a:off x="2561424" y="2528956"/>
              <a:ext cx="1189428" cy="679289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𝑅𝑝=  1/(1/𝑅1+1/𝑅2)</a:t>
              </a:r>
              <a:endParaRPr lang="en-US" sz="1200"/>
            </a:p>
          </xdr:txBody>
        </xdr:sp>
      </mc:Fallback>
    </mc:AlternateContent>
    <xdr:clientData/>
  </xdr:oneCellAnchor>
  <xdr:twoCellAnchor editAs="oneCell">
    <xdr:from>
      <xdr:col>1</xdr:col>
      <xdr:colOff>44174</xdr:colOff>
      <xdr:row>4</xdr:row>
      <xdr:rowOff>60739</xdr:rowOff>
    </xdr:from>
    <xdr:to>
      <xdr:col>4</xdr:col>
      <xdr:colOff>122501</xdr:colOff>
      <xdr:row>10</xdr:row>
      <xdr:rowOff>115957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3D08A5D-4190-6EE6-A0BC-01A360C35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609" y="844826"/>
          <a:ext cx="2337042" cy="114852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509444</xdr:colOff>
      <xdr:row>4</xdr:row>
      <xdr:rowOff>116678</xdr:rowOff>
    </xdr:from>
    <xdr:ext cx="1794227" cy="54924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4372BFE9-6EF2-4228-9B4F-5D6A7F69E225}"/>
                </a:ext>
              </a:extLst>
            </xdr:cNvPr>
            <xdr:cNvSpPr txBox="1"/>
          </xdr:nvSpPr>
          <xdr:spPr>
            <a:xfrm>
              <a:off x="4365827" y="905182"/>
              <a:ext cx="1794227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𝑉𝑜𝑢𝑡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𝑉𝑖𝑛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𝐴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1+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𝐴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𝐵</m:t>
                        </m:r>
                      </m:den>
                    </m:f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4372BFE9-6EF2-4228-9B4F-5D6A7F69E225}"/>
                </a:ext>
              </a:extLst>
            </xdr:cNvPr>
            <xdr:cNvSpPr txBox="1"/>
          </xdr:nvSpPr>
          <xdr:spPr>
            <a:xfrm>
              <a:off x="4365827" y="905182"/>
              <a:ext cx="1794227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𝑉𝑜𝑢𝑡=𝑉𝑖𝑛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</a:t>
              </a:r>
              <a:r>
                <a:rPr lang="en-US" sz="1200" b="0" i="0">
                  <a:latin typeface="Cambria Math" panose="02040503050406030204" pitchFamily="18" charset="0"/>
                </a:rPr>
                <a:t>𝐴/(1+𝐴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∙𝐵</a:t>
              </a:r>
              <a:r>
                <a:rPr lang="en-US" sz="12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en-US" sz="1200"/>
            </a:p>
          </xdr:txBody>
        </xdr:sp>
      </mc:Fallback>
    </mc:AlternateContent>
    <xdr:clientData/>
  </xdr:oneCellAnchor>
  <xdr:oneCellAnchor>
    <xdr:from>
      <xdr:col>6</xdr:col>
      <xdr:colOff>490330</xdr:colOff>
      <xdr:row>8</xdr:row>
      <xdr:rowOff>19878</xdr:rowOff>
    </xdr:from>
    <xdr:ext cx="2186609" cy="54924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CD879C09-7814-4C28-8ED2-E16D67BA98E2}"/>
                </a:ext>
              </a:extLst>
            </xdr:cNvPr>
            <xdr:cNvSpPr txBox="1"/>
          </xdr:nvSpPr>
          <xdr:spPr>
            <a:xfrm>
              <a:off x="4346713" y="1550504"/>
              <a:ext cx="2186609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𝑉𝑜𝑢𝑡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𝑉𝑖𝑛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𝐵</m:t>
                        </m:r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   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𝑓𝑜𝑟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𝐴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≫1</m:t>
                    </m:r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CD879C09-7814-4C28-8ED2-E16D67BA98E2}"/>
                </a:ext>
              </a:extLst>
            </xdr:cNvPr>
            <xdr:cNvSpPr txBox="1"/>
          </xdr:nvSpPr>
          <xdr:spPr>
            <a:xfrm>
              <a:off x="4346713" y="1550504"/>
              <a:ext cx="2186609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𝑉𝑜𝑢𝑡=𝑉𝑖𝑛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</a:t>
              </a:r>
              <a:r>
                <a:rPr lang="en-US" sz="1200" b="0" i="0">
                  <a:latin typeface="Cambria Math" panose="02040503050406030204" pitchFamily="18" charset="0"/>
                </a:rPr>
                <a:t>1/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𝐵</a:t>
              </a:r>
              <a:r>
                <a:rPr lang="en-US" sz="12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en-US" sz="1200" b="0" i="0">
                  <a:latin typeface="Cambria Math" panose="02040503050406030204" pitchFamily="18" charset="0"/>
                </a:rPr>
                <a:t>   𝑓𝑜𝑟 𝐴≫1</a:t>
              </a:r>
              <a:endParaRPr lang="en-US" sz="1200"/>
            </a:p>
          </xdr:txBody>
        </xdr:sp>
      </mc:Fallback>
    </mc:AlternateContent>
    <xdr:clientData/>
  </xdr:oneCellAnchor>
  <xdr:oneCellAnchor>
    <xdr:from>
      <xdr:col>6</xdr:col>
      <xdr:colOff>543340</xdr:colOff>
      <xdr:row>12</xdr:row>
      <xdr:rowOff>92764</xdr:rowOff>
    </xdr:from>
    <xdr:ext cx="1794227" cy="54924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870F13E4-874A-43CF-B814-611D197ED353}"/>
                </a:ext>
              </a:extLst>
            </xdr:cNvPr>
            <xdr:cNvSpPr txBox="1"/>
          </xdr:nvSpPr>
          <xdr:spPr>
            <a:xfrm>
              <a:off x="4399723" y="2365512"/>
              <a:ext cx="1794227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𝐾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𝑉𝑜𝑢𝑡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𝑉𝑖𝑛</m:t>
                        </m:r>
                      </m:den>
                    </m:f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𝐴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1+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𝐴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𝐵</m:t>
                        </m:r>
                      </m:den>
                    </m:f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≈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𝐵</m:t>
                        </m:r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870F13E4-874A-43CF-B814-611D197ED353}"/>
                </a:ext>
              </a:extLst>
            </xdr:cNvPr>
            <xdr:cNvSpPr txBox="1"/>
          </xdr:nvSpPr>
          <xdr:spPr>
            <a:xfrm>
              <a:off x="4399723" y="2365512"/>
              <a:ext cx="1794227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𝐾=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𝑉𝑜𝑢𝑡/𝑉𝑖𝑛=</a:t>
              </a:r>
              <a:r>
                <a:rPr lang="en-US" sz="1200" b="0" i="0">
                  <a:latin typeface="Cambria Math" panose="02040503050406030204" pitchFamily="18" charset="0"/>
                </a:rPr>
                <a:t>𝐴/(1+𝐴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∙𝐵</a:t>
              </a:r>
              <a:r>
                <a:rPr lang="en-US" sz="12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≈1/𝐵</a:t>
              </a:r>
              <a:r>
                <a:rPr lang="en-US" sz="12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en-US" sz="1200" b="0" i="0">
                  <a:latin typeface="Cambria Math" panose="02040503050406030204" pitchFamily="18" charset="0"/>
                </a:rPr>
                <a:t> </a:t>
              </a:r>
              <a:endParaRPr lang="en-US" sz="1200"/>
            </a:p>
          </xdr:txBody>
        </xdr:sp>
      </mc:Fallback>
    </mc:AlternateContent>
    <xdr:clientData/>
  </xdr:oneCellAnchor>
  <xdr:twoCellAnchor editAs="oneCell">
    <xdr:from>
      <xdr:col>1</xdr:col>
      <xdr:colOff>44174</xdr:colOff>
      <xdr:row>4</xdr:row>
      <xdr:rowOff>27610</xdr:rowOff>
    </xdr:from>
    <xdr:to>
      <xdr:col>6</xdr:col>
      <xdr:colOff>210881</xdr:colOff>
      <xdr:row>14</xdr:row>
      <xdr:rowOff>165652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23AAB33-98EE-D7F4-755C-4077DDE55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4522" y="811697"/>
          <a:ext cx="3529446" cy="196021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346534</xdr:colOff>
      <xdr:row>22</xdr:row>
      <xdr:rowOff>1065</xdr:rowOff>
    </xdr:from>
    <xdr:ext cx="1794227" cy="54924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22152930-F56E-46F2-9DBE-BBAA555B08B3}"/>
                </a:ext>
              </a:extLst>
            </xdr:cNvPr>
            <xdr:cNvSpPr txBox="1"/>
          </xdr:nvSpPr>
          <xdr:spPr>
            <a:xfrm>
              <a:off x="3909541" y="3359120"/>
              <a:ext cx="1794227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𝑒</m:t>
                        </m:r>
                      </m:e>
                      <m:sub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</m:t>
                        </m:r>
                      </m:sub>
                    </m:sSub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4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𝑘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sSub>
                          <m:sSub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𝑇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𝐾</m:t>
                            </m:r>
                          </m:sub>
                        </m:sSub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</m:e>
                    </m:rad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22152930-F56E-46F2-9DBE-BBAA555B08B3}"/>
                </a:ext>
              </a:extLst>
            </xdr:cNvPr>
            <xdr:cNvSpPr txBox="1"/>
          </xdr:nvSpPr>
          <xdr:spPr>
            <a:xfrm>
              <a:off x="3909541" y="3359120"/>
              <a:ext cx="1794227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𝑒_𝑅=√(4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∙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𝑘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∙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𝑇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𝐾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∙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𝑅</a:t>
              </a:r>
              <a:r>
                <a:rPr lang="en-US" sz="12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en-US" sz="1200"/>
            </a:p>
          </xdr:txBody>
        </xdr:sp>
      </mc:Fallback>
    </mc:AlternateContent>
    <xdr:clientData/>
  </xdr:oneCellAnchor>
  <xdr:oneCellAnchor>
    <xdr:from>
      <xdr:col>5</xdr:col>
      <xdr:colOff>4354</xdr:colOff>
      <xdr:row>33</xdr:row>
      <xdr:rowOff>178525</xdr:rowOff>
    </xdr:from>
    <xdr:ext cx="2203268" cy="54924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566F86A7-6336-498D-A844-01D37B2C1C6F}"/>
                </a:ext>
              </a:extLst>
            </xdr:cNvPr>
            <xdr:cNvSpPr txBox="1"/>
          </xdr:nvSpPr>
          <xdr:spPr>
            <a:xfrm>
              <a:off x="4162697" y="5164182"/>
              <a:ext cx="2203268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</m:t>
                        </m:r>
                      </m:e>
                      <m:sub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b>
                    </m:sSub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𝑒</m:t>
                        </m:r>
                      </m:e>
                      <m:sub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b>
                    </m:sSub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sSub>
                      <m:sSub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𝐾</m:t>
                        </m:r>
                      </m:e>
                      <m:sub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𝑠𝑦𝑠</m:t>
                        </m:r>
                      </m:sub>
                    </m:sSub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𝑓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𝑏𝑤</m:t>
                            </m:r>
                          </m:sub>
                        </m:sSub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sSub>
                          <m:sSub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𝐾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𝑓𝑖𝑙</m:t>
                            </m:r>
                          </m:sub>
                        </m:sSub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</m:e>
                    </m:rad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566F86A7-6336-498D-A844-01D37B2C1C6F}"/>
                </a:ext>
              </a:extLst>
            </xdr:cNvPr>
            <xdr:cNvSpPr txBox="1"/>
          </xdr:nvSpPr>
          <xdr:spPr>
            <a:xfrm>
              <a:off x="4162697" y="5164182"/>
              <a:ext cx="2203268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𝐸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</a:t>
              </a:r>
              <a:r>
                <a:rPr lang="en-US" sz="1200" b="0" i="0">
                  <a:latin typeface="Cambria Math" panose="02040503050406030204" pitchFamily="18" charset="0"/>
                </a:rPr>
                <a:t>=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𝑒_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∙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𝐾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𝑠𝑦𝑠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∙</a:t>
              </a:r>
              <a:r>
                <a:rPr lang="en-US" sz="1200" b="0" i="0">
                  <a:latin typeface="Cambria Math" panose="02040503050406030204" pitchFamily="18" charset="0"/>
                </a:rPr>
                <a:t>√(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𝑓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𝑏𝑤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∙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𝐾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𝑓𝑖𝑙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∙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𝑅</a:t>
              </a:r>
              <a:r>
                <a:rPr lang="en-US" sz="12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en-US" sz="1200"/>
            </a:p>
          </xdr:txBody>
        </xdr:sp>
      </mc:Fallback>
    </mc:AlternateContent>
    <xdr:clientData/>
  </xdr:oneCellAnchor>
  <xdr:oneCellAnchor>
    <xdr:from>
      <xdr:col>5</xdr:col>
      <xdr:colOff>30480</xdr:colOff>
      <xdr:row>38</xdr:row>
      <xdr:rowOff>34835</xdr:rowOff>
    </xdr:from>
    <xdr:ext cx="1445623" cy="54924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B1766817-40BD-444F-AB85-D51D59AEE8F3}"/>
                </a:ext>
              </a:extLst>
            </xdr:cNvPr>
            <xdr:cNvSpPr txBox="1"/>
          </xdr:nvSpPr>
          <xdr:spPr>
            <a:xfrm>
              <a:off x="4188823" y="5934892"/>
              <a:ext cx="1445623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</m:t>
                        </m:r>
                      </m:e>
                      <m:sub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𝑡𝑜𝑡</m:t>
                        </m:r>
                      </m:sub>
                    </m:sSub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sSup>
                          <m:sSup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sSub>
                              <m:sSub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𝐸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𝑛</m:t>
                                </m:r>
                              </m:sub>
                            </m:sSub>
                          </m:e>
                          <m:sup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sSup>
                          <m:sSup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sSub>
                              <m:sSub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𝐸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𝑅</m:t>
                                </m:r>
                              </m:sub>
                            </m:sSub>
                          </m:e>
                          <m:sup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e>
                    </m:rad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B1766817-40BD-444F-AB85-D51D59AEE8F3}"/>
                </a:ext>
              </a:extLst>
            </xdr:cNvPr>
            <xdr:cNvSpPr txBox="1"/>
          </xdr:nvSpPr>
          <xdr:spPr>
            <a:xfrm>
              <a:off x="4188823" y="5934892"/>
              <a:ext cx="1445623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𝐸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𝑡𝑜𝑡</a:t>
              </a:r>
              <a:r>
                <a:rPr lang="en-US" sz="1200" b="0" i="0">
                  <a:latin typeface="Cambria Math" panose="02040503050406030204" pitchFamily="18" charset="0"/>
                </a:rPr>
                <a:t>=√(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〖𝐸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_𝑛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〗^2+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𝐸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𝑅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〗^2</a:t>
              </a:r>
              <a:r>
                <a:rPr lang="en-US" sz="12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)</a:t>
              </a:r>
              <a:endParaRPr lang="en-US" sz="1200"/>
            </a:p>
          </xdr:txBody>
        </xdr:sp>
      </mc:Fallback>
    </mc:AlternateContent>
    <xdr:clientData/>
  </xdr:oneCellAnchor>
  <xdr:twoCellAnchor editAs="oneCell">
    <xdr:from>
      <xdr:col>1</xdr:col>
      <xdr:colOff>41381</xdr:colOff>
      <xdr:row>4</xdr:row>
      <xdr:rowOff>148309</xdr:rowOff>
    </xdr:from>
    <xdr:to>
      <xdr:col>8</xdr:col>
      <xdr:colOff>231157</xdr:colOff>
      <xdr:row>12</xdr:row>
      <xdr:rowOff>175918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0E890C-87EA-CDBC-CA9F-E24905C54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9875" y="919274"/>
          <a:ext cx="4752811" cy="146196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5862</xdr:colOff>
      <xdr:row>13</xdr:row>
      <xdr:rowOff>69193</xdr:rowOff>
    </xdr:from>
    <xdr:ext cx="2179320" cy="65532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D4DD29AC-8735-4CE4-8399-1252502731B3}"/>
                </a:ext>
              </a:extLst>
            </xdr:cNvPr>
            <xdr:cNvSpPr txBox="1"/>
          </xdr:nvSpPr>
          <xdr:spPr>
            <a:xfrm>
              <a:off x="2479601" y="2493236"/>
              <a:ext cx="2179320" cy="655320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𝑁𝑝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𝑁𝑠</m:t>
                        </m:r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𝑉𝑝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𝑉𝑠</m:t>
                        </m:r>
                      </m:den>
                    </m:f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𝐼𝑠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𝐼𝑝</m:t>
                        </m:r>
                      </m:den>
                    </m:f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ad>
                      <m:radPr>
                        <m:degHide m:val="on"/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𝐿𝑝</m:t>
                            </m:r>
                          </m:num>
                          <m:den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𝐿𝑠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D4DD29AC-8735-4CE4-8399-1252502731B3}"/>
                </a:ext>
              </a:extLst>
            </xdr:cNvPr>
            <xdr:cNvSpPr txBox="1"/>
          </xdr:nvSpPr>
          <xdr:spPr>
            <a:xfrm>
              <a:off x="2479601" y="2493236"/>
              <a:ext cx="2179320" cy="655320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𝑎=  𝑁𝑝/𝑁𝑠=𝑉𝑝/𝑉𝑠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𝐼𝑠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𝐼𝑝=√(𝐿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𝑝/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𝐿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𝑠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en-US" sz="1200"/>
            </a:p>
          </xdr:txBody>
        </xdr:sp>
      </mc:Fallback>
    </mc:AlternateContent>
    <xdr:clientData/>
  </xdr:oneCellAnchor>
  <xdr:twoCellAnchor editAs="oneCell">
    <xdr:from>
      <xdr:col>1</xdr:col>
      <xdr:colOff>49695</xdr:colOff>
      <xdr:row>4</xdr:row>
      <xdr:rowOff>99392</xdr:rowOff>
    </xdr:from>
    <xdr:to>
      <xdr:col>6</xdr:col>
      <xdr:colOff>287130</xdr:colOff>
      <xdr:row>12</xdr:row>
      <xdr:rowOff>43610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EFCF8C-A83C-8C14-528B-EF81C8066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8130" y="883479"/>
          <a:ext cx="3329609" cy="1401957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228944</xdr:colOff>
      <xdr:row>20</xdr:row>
      <xdr:rowOff>147974</xdr:rowOff>
    </xdr:from>
    <xdr:ext cx="2179320" cy="65532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31176B7-014C-4F19-A3E1-2B000976D628}"/>
                </a:ext>
              </a:extLst>
            </xdr:cNvPr>
            <xdr:cNvSpPr txBox="1"/>
          </xdr:nvSpPr>
          <xdr:spPr>
            <a:xfrm>
              <a:off x="2636864" y="4399934"/>
              <a:ext cx="2179320" cy="655320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𝐾𝑑𝑖𝑣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_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𝑑𝑐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𝑉𝑜𝑢𝑡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𝑉𝑖𝑛</m:t>
                        </m:r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2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1+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31176B7-014C-4F19-A3E1-2B000976D628}"/>
                </a:ext>
              </a:extLst>
            </xdr:cNvPr>
            <xdr:cNvSpPr txBox="1"/>
          </xdr:nvSpPr>
          <xdr:spPr>
            <a:xfrm>
              <a:off x="2636864" y="4399934"/>
              <a:ext cx="2179320" cy="655320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𝐾𝑑𝑖𝑣_𝑑𝑐=  𝑉𝑜𝑢𝑡/𝑉𝑖𝑛=𝑅2/(𝑅1+𝑅2)</a:t>
              </a:r>
              <a:endParaRPr lang="en-US" sz="1200"/>
            </a:p>
          </xdr:txBody>
        </xdr:sp>
      </mc:Fallback>
    </mc:AlternateContent>
    <xdr:clientData/>
  </xdr:oneCellAnchor>
  <xdr:twoCellAnchor editAs="oneCell">
    <xdr:from>
      <xdr:col>0</xdr:col>
      <xdr:colOff>603738</xdr:colOff>
      <xdr:row>4</xdr:row>
      <xdr:rowOff>0</xdr:rowOff>
    </xdr:from>
    <xdr:to>
      <xdr:col>4</xdr:col>
      <xdr:colOff>369463</xdr:colOff>
      <xdr:row>14</xdr:row>
      <xdr:rowOff>5522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3B37B2E-675B-B67C-FC36-CF85BC658F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9923" b="3261"/>
        <a:stretch/>
      </xdr:blipFill>
      <xdr:spPr>
        <a:xfrm>
          <a:off x="603738" y="784087"/>
          <a:ext cx="2614059" cy="1827696"/>
        </a:xfrm>
        <a:prstGeom prst="rect">
          <a:avLst/>
        </a:prstGeom>
      </xdr:spPr>
    </xdr:pic>
    <xdr:clientData/>
  </xdr:twoCellAnchor>
  <xdr:twoCellAnchor editAs="oneCell">
    <xdr:from>
      <xdr:col>0</xdr:col>
      <xdr:colOff>35169</xdr:colOff>
      <xdr:row>31</xdr:row>
      <xdr:rowOff>158263</xdr:rowOff>
    </xdr:from>
    <xdr:to>
      <xdr:col>8</xdr:col>
      <xdr:colOff>359585</xdr:colOff>
      <xdr:row>39</xdr:row>
      <xdr:rowOff>64478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C336B7-91C7-D2AF-8179-220E23827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169" y="5656386"/>
          <a:ext cx="5514222" cy="135987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35642</xdr:colOff>
      <xdr:row>27</xdr:row>
      <xdr:rowOff>177957</xdr:rowOff>
    </xdr:from>
    <xdr:ext cx="2626488" cy="51616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21156DDE-24BC-447F-905A-83905E3EA609}"/>
                </a:ext>
              </a:extLst>
            </xdr:cNvPr>
            <xdr:cNvSpPr txBox="1"/>
          </xdr:nvSpPr>
          <xdr:spPr>
            <a:xfrm>
              <a:off x="3322181" y="5233661"/>
              <a:ext cx="2626488" cy="516167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∆</m:t>
                    </m:r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𝐼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𝐿</m:t>
                        </m:r>
                      </m:sub>
                    </m:sSub>
                    <m:r>
                      <a:rPr lang="en-US" sz="11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𝑉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𝐿</m:t>
                            </m:r>
                          </m:sub>
                        </m:sSub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𝐿</m:t>
                        </m:r>
                      </m:den>
                    </m:f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𝐷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𝑇𝑠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 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d>
                          <m:d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𝑉𝑖𝑛</m:t>
                            </m:r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𝑉𝑜𝑢𝑡</m:t>
                            </m:r>
                          </m:e>
                        </m:d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𝐿</m:t>
                        </m:r>
                      </m:den>
                    </m:f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𝑇𝑜𝑛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21156DDE-24BC-447F-905A-83905E3EA609}"/>
                </a:ext>
              </a:extLst>
            </xdr:cNvPr>
            <xdr:cNvSpPr txBox="1"/>
          </xdr:nvSpPr>
          <xdr:spPr>
            <a:xfrm>
              <a:off x="3322181" y="5233661"/>
              <a:ext cx="2626488" cy="516167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∆𝐼_𝐿</a:t>
              </a:r>
              <a:r>
                <a:rPr lang="en-US" sz="1100" b="0" i="0">
                  <a:latin typeface="Cambria Math" panose="02040503050406030204" pitchFamily="18" charset="0"/>
                </a:rPr>
                <a:t>=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𝑉_𝐿/</a:t>
              </a:r>
              <a:r>
                <a:rPr lang="en-US" sz="1100" b="0" i="0">
                  <a:latin typeface="Cambria Math" panose="02040503050406030204" pitchFamily="18" charset="0"/>
                </a:rPr>
                <a:t>𝐿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∙𝐷∙𝑇𝑠=  ((𝑉𝑖𝑛−𝑉𝑜𝑢𝑡))/𝐿∙𝑇𝑜𝑛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4</xdr:col>
      <xdr:colOff>57807</xdr:colOff>
      <xdr:row>30</xdr:row>
      <xdr:rowOff>113100</xdr:rowOff>
    </xdr:from>
    <xdr:ext cx="1186350" cy="50161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1B517E00-ECCC-40F8-9D2F-0D59306C3916}"/>
                </a:ext>
              </a:extLst>
            </xdr:cNvPr>
            <xdr:cNvSpPr txBox="1"/>
          </xdr:nvSpPr>
          <xdr:spPr>
            <a:xfrm>
              <a:off x="3344346" y="5725396"/>
              <a:ext cx="1186350" cy="501612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∆</m:t>
                    </m:r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𝑉𝑜𝑢𝑡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𝐼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𝐶</m:t>
                            </m:r>
                          </m:sub>
                        </m:sSub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𝑇𝑠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8∙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1B517E00-ECCC-40F8-9D2F-0D59306C3916}"/>
                </a:ext>
              </a:extLst>
            </xdr:cNvPr>
            <xdr:cNvSpPr txBox="1"/>
          </xdr:nvSpPr>
          <xdr:spPr>
            <a:xfrm>
              <a:off x="3344346" y="5725396"/>
              <a:ext cx="1186350" cy="501612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∆𝑉𝑜𝑢𝑡</a:t>
              </a:r>
              <a:r>
                <a:rPr lang="en-US" sz="1100" b="0" i="0">
                  <a:latin typeface="Cambria Math" panose="02040503050406030204" pitchFamily="18" charset="0"/>
                </a:rPr>
                <a:t>=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(𝐼_𝐶∙𝑇𝑠)/(8∙𝐶)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4</xdr:col>
      <xdr:colOff>46382</xdr:colOff>
      <xdr:row>23</xdr:row>
      <xdr:rowOff>6627</xdr:rowOff>
    </xdr:from>
    <xdr:ext cx="1116268" cy="35689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8734214B-E2A6-45CC-BD9F-52BC93CE1872}"/>
                </a:ext>
              </a:extLst>
            </xdr:cNvPr>
            <xdr:cNvSpPr txBox="1"/>
          </xdr:nvSpPr>
          <xdr:spPr>
            <a:xfrm>
              <a:off x="3332921" y="4320210"/>
              <a:ext cx="1116268" cy="35689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V</m:t>
                    </m:r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𝑜𝑢𝑡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𝑉𝑖𝑛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𝐷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8734214B-E2A6-45CC-BD9F-52BC93CE1872}"/>
                </a:ext>
              </a:extLst>
            </xdr:cNvPr>
            <xdr:cNvSpPr txBox="1"/>
          </xdr:nvSpPr>
          <xdr:spPr>
            <a:xfrm>
              <a:off x="3332921" y="4320210"/>
              <a:ext cx="1116268" cy="35689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V𝑜𝑢𝑡</a:t>
              </a:r>
              <a:r>
                <a:rPr lang="en-US" sz="1100" b="0" i="0">
                  <a:latin typeface="Cambria Math" panose="02040503050406030204" pitchFamily="18" charset="0"/>
                </a:rPr>
                <a:t>=𝑉𝑖𝑛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∙𝐷</a:t>
              </a:r>
              <a:endParaRPr lang="en-US" sz="1100"/>
            </a:p>
          </xdr:txBody>
        </xdr:sp>
      </mc:Fallback>
    </mc:AlternateContent>
    <xdr:clientData/>
  </xdr:oneCellAnchor>
  <xdr:twoCellAnchor editAs="oneCell">
    <xdr:from>
      <xdr:col>1</xdr:col>
      <xdr:colOff>72887</xdr:colOff>
      <xdr:row>4</xdr:row>
      <xdr:rowOff>19879</xdr:rowOff>
    </xdr:from>
    <xdr:to>
      <xdr:col>6</xdr:col>
      <xdr:colOff>421230</xdr:colOff>
      <xdr:row>12</xdr:row>
      <xdr:rowOff>59885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0E19279-FD1F-4CB0-B57E-C7C4EA0B8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0296" y="808383"/>
          <a:ext cx="3886673" cy="15242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263722</xdr:colOff>
      <xdr:row>25</xdr:row>
      <xdr:rowOff>181242</xdr:rowOff>
    </xdr:from>
    <xdr:ext cx="1789271" cy="35689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B6D416A1-305F-4848-9C32-EFE2B099E9F3}"/>
                </a:ext>
              </a:extLst>
            </xdr:cNvPr>
            <xdr:cNvSpPr txBox="1"/>
          </xdr:nvSpPr>
          <xdr:spPr>
            <a:xfrm>
              <a:off x="263722" y="4798962"/>
              <a:ext cx="1789271" cy="35689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𝑜𝑓𝑓𝑠𝑒𝑡</m:t>
                    </m:r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𝑏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𝑦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1−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𝑥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1∙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𝑚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B6D416A1-305F-4848-9C32-EFE2B099E9F3}"/>
                </a:ext>
              </a:extLst>
            </xdr:cNvPr>
            <xdr:cNvSpPr txBox="1"/>
          </xdr:nvSpPr>
          <xdr:spPr>
            <a:xfrm>
              <a:off x="263722" y="4798962"/>
              <a:ext cx="1789271" cy="35689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𝑜𝑓𝑓𝑠𝑒𝑡=𝑏</a:t>
              </a:r>
              <a:r>
                <a:rPr lang="en-US" sz="1100" b="0" i="0">
                  <a:latin typeface="Cambria Math" panose="02040503050406030204" pitchFamily="18" charset="0"/>
                </a:rPr>
                <a:t>=𝑦1−𝑥1∙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𝑚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4</xdr:col>
      <xdr:colOff>26663</xdr:colOff>
      <xdr:row>22</xdr:row>
      <xdr:rowOff>39524</xdr:rowOff>
    </xdr:from>
    <xdr:to>
      <xdr:col>8</xdr:col>
      <xdr:colOff>607358</xdr:colOff>
      <xdr:row>35</xdr:row>
      <xdr:rowOff>1344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E8F4C7C-A662-5890-9FB5-2B0C38EF2F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245375</xdr:colOff>
      <xdr:row>22</xdr:row>
      <xdr:rowOff>45720</xdr:rowOff>
    </xdr:from>
    <xdr:ext cx="1934760" cy="50336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165D2BBC-1FEB-E064-D75F-C332B63701DF}"/>
                </a:ext>
              </a:extLst>
            </xdr:cNvPr>
            <xdr:cNvSpPr txBox="1"/>
          </xdr:nvSpPr>
          <xdr:spPr>
            <a:xfrm>
              <a:off x="245375" y="4114800"/>
              <a:ext cx="1934760" cy="503365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𝑠𝑙𝑜𝑝𝑒</m:t>
                    </m:r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𝑚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𝑦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den>
                    </m:f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 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𝑦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2−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𝑦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2−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165D2BBC-1FEB-E064-D75F-C332B63701DF}"/>
                </a:ext>
              </a:extLst>
            </xdr:cNvPr>
            <xdr:cNvSpPr txBox="1"/>
          </xdr:nvSpPr>
          <xdr:spPr>
            <a:xfrm>
              <a:off x="245375" y="4114800"/>
              <a:ext cx="1934760" cy="503365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𝑠𝑙𝑜𝑝𝑒=𝑚</a:t>
              </a:r>
              <a:r>
                <a:rPr lang="en-US" sz="1100" b="0" i="0">
                  <a:latin typeface="Cambria Math" panose="02040503050406030204" pitchFamily="18" charset="0"/>
                </a:rPr>
                <a:t>=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∆𝑦/∆𝑥=  (𝑦2−𝑦1)/(𝑥2−𝑥1)</a:t>
              </a:r>
              <a:endParaRPr lang="en-US" sz="1100"/>
            </a:p>
          </xdr:txBody>
        </xdr:sp>
      </mc:Fallback>
    </mc:AlternateContent>
    <xdr:clientData/>
  </xdr:oneCellAnchor>
  <xdr:twoCellAnchor editAs="oneCell">
    <xdr:from>
      <xdr:col>1</xdr:col>
      <xdr:colOff>682514</xdr:colOff>
      <xdr:row>22</xdr:row>
      <xdr:rowOff>20137</xdr:rowOff>
    </xdr:from>
    <xdr:to>
      <xdr:col>3</xdr:col>
      <xdr:colOff>242020</xdr:colOff>
      <xdr:row>30</xdr:row>
      <xdr:rowOff>148336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458E1FDD-9C2E-066A-6B62-2E1E5CA7E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67474" y="4089217"/>
          <a:ext cx="1853126" cy="1591239"/>
        </a:xfrm>
        <a:prstGeom prst="rect">
          <a:avLst/>
        </a:prstGeom>
      </xdr:spPr>
    </xdr:pic>
    <xdr:clientData/>
  </xdr:twoCellAnchor>
  <xdr:twoCellAnchor editAs="oneCell">
    <xdr:from>
      <xdr:col>0</xdr:col>
      <xdr:colOff>779932</xdr:colOff>
      <xdr:row>5</xdr:row>
      <xdr:rowOff>35411</xdr:rowOff>
    </xdr:from>
    <xdr:to>
      <xdr:col>3</xdr:col>
      <xdr:colOff>537884</xdr:colOff>
      <xdr:row>11</xdr:row>
      <xdr:rowOff>155421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7155AD0-880B-D472-FFE9-40074A3C7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9932" y="985670"/>
          <a:ext cx="3639670" cy="119577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119269</xdr:colOff>
      <xdr:row>18</xdr:row>
      <xdr:rowOff>33130</xdr:rowOff>
    </xdr:from>
    <xdr:ext cx="3776870" cy="60445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BDE37D4-A999-4BE1-8767-09C25CFFCC30}"/>
                </a:ext>
              </a:extLst>
            </xdr:cNvPr>
            <xdr:cNvSpPr txBox="1"/>
          </xdr:nvSpPr>
          <xdr:spPr>
            <a:xfrm>
              <a:off x="3372678" y="3233530"/>
              <a:ext cx="3776870" cy="604459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𝑉𝑡h𝑟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_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𝐿𝑂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𝑉𝑐𝑐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𝑅𝑝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23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1+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𝑅𝑝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23</m:t>
                        </m:r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𝑉𝑜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_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𝐿𝑂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𝑅𝑝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12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3+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𝑅𝑝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12</m:t>
                        </m:r>
                      </m:den>
                    </m:f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BDE37D4-A999-4BE1-8767-09C25CFFCC30}"/>
                </a:ext>
              </a:extLst>
            </xdr:cNvPr>
            <xdr:cNvSpPr txBox="1"/>
          </xdr:nvSpPr>
          <xdr:spPr>
            <a:xfrm>
              <a:off x="3372678" y="3233530"/>
              <a:ext cx="3776870" cy="604459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𝑉𝑡ℎ𝑟_𝐿𝑂=𝑉𝑐𝑐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</a:t>
              </a:r>
              <a:r>
                <a:rPr lang="en-US" sz="1200" b="0" i="0">
                  <a:latin typeface="Cambria Math" panose="02040503050406030204" pitchFamily="18" charset="0"/>
                </a:rPr>
                <a:t>𝑅𝑝23/(𝑅1+𝑅𝑝23)+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𝑉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𝑜_𝐿𝑂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∙𝑅𝑝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/(𝑅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+𝑅𝑝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endParaRPr lang="en-US" sz="1200"/>
            </a:p>
          </xdr:txBody>
        </xdr:sp>
      </mc:Fallback>
    </mc:AlternateContent>
    <xdr:clientData/>
  </xdr:oneCellAnchor>
  <xdr:oneCellAnchor>
    <xdr:from>
      <xdr:col>5</xdr:col>
      <xdr:colOff>72887</xdr:colOff>
      <xdr:row>22</xdr:row>
      <xdr:rowOff>6626</xdr:rowOff>
    </xdr:from>
    <xdr:ext cx="3776870" cy="60445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6D67F0D7-2D56-47AD-A866-94E68029E7EA}"/>
                </a:ext>
              </a:extLst>
            </xdr:cNvPr>
            <xdr:cNvSpPr txBox="1"/>
          </xdr:nvSpPr>
          <xdr:spPr>
            <a:xfrm>
              <a:off x="3326296" y="3949148"/>
              <a:ext cx="3776870" cy="604459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𝑉𝑡h𝑟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_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𝐻𝐼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𝑉𝑐𝑐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𝑅𝑝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23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1+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𝑅𝑝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23</m:t>
                        </m:r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𝑉𝑜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_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𝐻𝐼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𝑅𝑝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12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3+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𝑅𝑝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12</m:t>
                        </m:r>
                      </m:den>
                    </m:f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6D67F0D7-2D56-47AD-A866-94E68029E7EA}"/>
                </a:ext>
              </a:extLst>
            </xdr:cNvPr>
            <xdr:cNvSpPr txBox="1"/>
          </xdr:nvSpPr>
          <xdr:spPr>
            <a:xfrm>
              <a:off x="3326296" y="3949148"/>
              <a:ext cx="3776870" cy="604459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𝑉𝑡ℎ𝑟_𝐻𝐼=𝑉𝑐𝑐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</a:t>
              </a:r>
              <a:r>
                <a:rPr lang="en-US" sz="1200" b="0" i="0">
                  <a:latin typeface="Cambria Math" panose="02040503050406030204" pitchFamily="18" charset="0"/>
                </a:rPr>
                <a:t>𝑅𝑝23/(𝑅1+𝑅𝑝23)+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𝑉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𝑜_𝐻𝐼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∙𝑅𝑝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/(𝑅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+𝑅𝑝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endParaRPr lang="en-US" sz="1200"/>
            </a:p>
          </xdr:txBody>
        </xdr:sp>
      </mc:Fallback>
    </mc:AlternateContent>
    <xdr:clientData/>
  </xdr:oneCellAnchor>
  <xdr:twoCellAnchor editAs="oneCell">
    <xdr:from>
      <xdr:col>1</xdr:col>
      <xdr:colOff>13253</xdr:colOff>
      <xdr:row>3</xdr:row>
      <xdr:rowOff>86140</xdr:rowOff>
    </xdr:from>
    <xdr:to>
      <xdr:col>4</xdr:col>
      <xdr:colOff>543339</xdr:colOff>
      <xdr:row>15</xdr:row>
      <xdr:rowOff>269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33E04B-A359-9048-8FA5-05BE9C774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4766" y="689114"/>
          <a:ext cx="2339008" cy="2140494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601526</xdr:colOff>
      <xdr:row>15</xdr:row>
      <xdr:rowOff>24295</xdr:rowOff>
    </xdr:from>
    <xdr:ext cx="1300163" cy="5323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7B706120-EBC4-492E-9C77-F8BBDC4DCA69}"/>
                </a:ext>
              </a:extLst>
            </xdr:cNvPr>
            <xdr:cNvSpPr txBox="1"/>
          </xdr:nvSpPr>
          <xdr:spPr>
            <a:xfrm>
              <a:off x="3180178" y="2083904"/>
              <a:ext cx="1300163" cy="532325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0">
                        <a:latin typeface="Cambria Math" panose="02040503050406030204" pitchFamily="18" charset="0"/>
                      </a:rPr>
                      <m:t>|</m:t>
                    </m:r>
                    <m:r>
                      <m:rPr>
                        <m:sty m:val="p"/>
                      </m:rPr>
                      <a:rPr lang="en-US" sz="1100" b="0" i="0">
                        <a:latin typeface="Cambria Math" panose="02040503050406030204" pitchFamily="18" charset="0"/>
                      </a:rPr>
                      <m:t>X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𝑐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|= 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2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𝜋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𝑓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𝐶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7B706120-EBC4-492E-9C77-F8BBDC4DCA69}"/>
                </a:ext>
              </a:extLst>
            </xdr:cNvPr>
            <xdr:cNvSpPr txBox="1"/>
          </xdr:nvSpPr>
          <xdr:spPr>
            <a:xfrm>
              <a:off x="3180178" y="2083904"/>
              <a:ext cx="1300163" cy="532325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|X𝑐|=  1/(2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∙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𝜋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∙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𝑓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∙</a:t>
              </a:r>
              <a:r>
                <a:rPr lang="en-US" sz="1100" b="0" i="0">
                  <a:latin typeface="Cambria Math" panose="02040503050406030204" pitchFamily="18" charset="0"/>
                </a:rPr>
                <a:t>𝐶)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3</xdr:col>
      <xdr:colOff>601526</xdr:colOff>
      <xdr:row>36</xdr:row>
      <xdr:rowOff>24295</xdr:rowOff>
    </xdr:from>
    <xdr:ext cx="1265155" cy="35689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4D23F566-1865-4B26-B3AC-EA4F17E93F9A}"/>
                </a:ext>
              </a:extLst>
            </xdr:cNvPr>
            <xdr:cNvSpPr txBox="1"/>
          </xdr:nvSpPr>
          <xdr:spPr>
            <a:xfrm>
              <a:off x="3180178" y="4088295"/>
              <a:ext cx="1265155" cy="35689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0">
                        <a:latin typeface="Cambria Math" panose="02040503050406030204" pitchFamily="18" charset="0"/>
                      </a:rPr>
                      <m:t>|</m:t>
                    </m:r>
                    <m:r>
                      <m:rPr>
                        <m:sty m:val="p"/>
                      </m:rPr>
                      <a:rPr lang="en-US" sz="1100" b="0" i="0">
                        <a:latin typeface="Cambria Math" panose="02040503050406030204" pitchFamily="18" charset="0"/>
                      </a:rPr>
                      <m:t>X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|=2∙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𝜋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𝑓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𝐿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4D23F566-1865-4B26-B3AC-EA4F17E93F9A}"/>
                </a:ext>
              </a:extLst>
            </xdr:cNvPr>
            <xdr:cNvSpPr txBox="1"/>
          </xdr:nvSpPr>
          <xdr:spPr>
            <a:xfrm>
              <a:off x="3180178" y="4088295"/>
              <a:ext cx="1265155" cy="35689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|X𝐿|=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2∙𝜋∙𝑓∙</a:t>
              </a:r>
              <a:r>
                <a:rPr lang="en-US" sz="1100" b="0" i="0">
                  <a:latin typeface="Cambria Math" panose="02040503050406030204" pitchFamily="18" charset="0"/>
                </a:rPr>
                <a:t>𝐿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5</xdr:col>
      <xdr:colOff>33130</xdr:colOff>
      <xdr:row>24</xdr:row>
      <xdr:rowOff>11044</xdr:rowOff>
    </xdr:from>
    <xdr:ext cx="1445623" cy="54924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AF149B08-5DB6-46D4-B3E7-252B00CD2E8A}"/>
                </a:ext>
              </a:extLst>
            </xdr:cNvPr>
            <xdr:cNvSpPr txBox="1"/>
          </xdr:nvSpPr>
          <xdr:spPr>
            <a:xfrm>
              <a:off x="3826565" y="3710609"/>
              <a:ext cx="1445623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|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𝑍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|=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sSup>
                          <m:sSup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p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sSup>
                          <m:sSup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sSub>
                              <m:sSub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𝑋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𝐶</m:t>
                                </m:r>
                              </m:sub>
                            </m:sSub>
                          </m:e>
                          <m:sup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e>
                    </m:rad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AF149B08-5DB6-46D4-B3E7-252B00CD2E8A}"/>
                </a:ext>
              </a:extLst>
            </xdr:cNvPr>
            <xdr:cNvSpPr txBox="1"/>
          </xdr:nvSpPr>
          <xdr:spPr>
            <a:xfrm>
              <a:off x="3826565" y="3710609"/>
              <a:ext cx="1445623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|𝑍|</a:t>
              </a:r>
              <a:r>
                <a:rPr lang="en-US" sz="1200" b="0" i="0">
                  <a:latin typeface="Cambria Math" panose="02040503050406030204" pitchFamily="18" charset="0"/>
                </a:rPr>
                <a:t>=√(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𝑅^2+〖𝑋_𝐶〗^2 </a:t>
              </a:r>
              <a:r>
                <a:rPr lang="en-US" sz="12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en-US" sz="1200"/>
            </a:p>
          </xdr:txBody>
        </xdr:sp>
      </mc:Fallback>
    </mc:AlternateContent>
    <xdr:clientData/>
  </xdr:oneCellAnchor>
  <xdr:oneCellAnchor>
    <xdr:from>
      <xdr:col>5</xdr:col>
      <xdr:colOff>27608</xdr:colOff>
      <xdr:row>27</xdr:row>
      <xdr:rowOff>49696</xdr:rowOff>
    </xdr:from>
    <xdr:ext cx="1787412" cy="5026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BB3A50CC-2678-4D34-9BE7-EF2AEFE30047}"/>
                </a:ext>
              </a:extLst>
            </xdr:cNvPr>
            <xdr:cNvSpPr txBox="1"/>
          </xdr:nvSpPr>
          <xdr:spPr>
            <a:xfrm>
              <a:off x="3821043" y="4295913"/>
              <a:ext cx="1787412" cy="502638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𝜃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 </m:t>
                    </m:r>
                    <m:func>
                      <m:func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sSup>
                          <m:sSup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sz="1100" b="0" i="0">
                                <a:latin typeface="Cambria Math" panose="02040503050406030204" pitchFamily="18" charset="0"/>
                              </a:rPr>
                              <m:t>tan</m:t>
                            </m:r>
                          </m:e>
                          <m:sup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fName>
                      <m:e>
                        <m:d>
                          <m:dPr>
                            <m:begChr m:val="["/>
                            <m:endChr m:val="]"/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sz="1100" b="0" i="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|</m:t>
                            </m:r>
                            <m:r>
                              <m:rPr>
                                <m:sty m:val="p"/>
                              </m:rPr>
                              <a:rPr lang="en-US" sz="1100" b="0" i="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X</m:t>
                            </m:r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𝑐</m:t>
                            </m:r>
                            <m:r>
                              <a:rPr lang="en-US" sz="1100" b="0" i="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|/</m:t>
                            </m:r>
                            <m:r>
                              <m:rPr>
                                <m:sty m:val="p"/>
                              </m:rPr>
                              <a:rPr lang="en-US" sz="1100" b="0" i="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R</m:t>
                            </m:r>
                          </m:e>
                        </m:d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∙</m:t>
                        </m:r>
                        <m:f>
                          <m:fPr>
                            <m:ctrl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180</m:t>
                            </m:r>
                          </m:num>
                          <m:den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𝜋</m:t>
                            </m:r>
                          </m:den>
                        </m:f>
                      </m:e>
                    </m:func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BB3A50CC-2678-4D34-9BE7-EF2AEFE30047}"/>
                </a:ext>
              </a:extLst>
            </xdr:cNvPr>
            <xdr:cNvSpPr txBox="1"/>
          </xdr:nvSpPr>
          <xdr:spPr>
            <a:xfrm>
              <a:off x="3821043" y="4295913"/>
              <a:ext cx="1787412" cy="502638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lang="en-US" sz="1100" b="0" i="0">
                  <a:latin typeface="Cambria Math" panose="02040503050406030204" pitchFamily="18" charset="0"/>
                </a:rPr>
                <a:t>=  〖−tan^(−1)〗⁡〖[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|X𝑐|/R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]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∙180/𝜋〗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5</xdr:col>
      <xdr:colOff>5522</xdr:colOff>
      <xdr:row>46</xdr:row>
      <xdr:rowOff>0</xdr:rowOff>
    </xdr:from>
    <xdr:ext cx="1445623" cy="54924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8D1E57F4-991A-40FC-9474-4F75E9B08C55}"/>
                </a:ext>
              </a:extLst>
            </xdr:cNvPr>
            <xdr:cNvSpPr txBox="1"/>
          </xdr:nvSpPr>
          <xdr:spPr>
            <a:xfrm>
              <a:off x="3798957" y="7526130"/>
              <a:ext cx="1445623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|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𝑍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|=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sSup>
                          <m:sSup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p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sSup>
                          <m:sSup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sSub>
                              <m:sSub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𝑋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𝐿</m:t>
                                </m:r>
                              </m:sub>
                            </m:sSub>
                          </m:e>
                          <m:sup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e>
                    </m:rad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8D1E57F4-991A-40FC-9474-4F75E9B08C55}"/>
                </a:ext>
              </a:extLst>
            </xdr:cNvPr>
            <xdr:cNvSpPr txBox="1"/>
          </xdr:nvSpPr>
          <xdr:spPr>
            <a:xfrm>
              <a:off x="3798957" y="7526130"/>
              <a:ext cx="1445623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|𝑍|</a:t>
              </a:r>
              <a:r>
                <a:rPr lang="en-US" sz="1200" b="0" i="0">
                  <a:latin typeface="Cambria Math" panose="02040503050406030204" pitchFamily="18" charset="0"/>
                </a:rPr>
                <a:t>=√(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𝑅^2+〖𝑋_𝐿〗^2 </a:t>
              </a:r>
              <a:r>
                <a:rPr lang="en-US" sz="12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en-US" sz="1200"/>
            </a:p>
          </xdr:txBody>
        </xdr:sp>
      </mc:Fallback>
    </mc:AlternateContent>
    <xdr:clientData/>
  </xdr:oneCellAnchor>
  <xdr:oneCellAnchor>
    <xdr:from>
      <xdr:col>5</xdr:col>
      <xdr:colOff>0</xdr:colOff>
      <xdr:row>49</xdr:row>
      <xdr:rowOff>38651</xdr:rowOff>
    </xdr:from>
    <xdr:ext cx="1681999" cy="5026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EED1F1CF-C13A-4A00-B252-33908B2F2981}"/>
                </a:ext>
              </a:extLst>
            </xdr:cNvPr>
            <xdr:cNvSpPr txBox="1"/>
          </xdr:nvSpPr>
          <xdr:spPr>
            <a:xfrm>
              <a:off x="3793435" y="8111434"/>
              <a:ext cx="1681999" cy="502638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𝜃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 </m:t>
                    </m:r>
                    <m:func>
                      <m:func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sSup>
                          <m:sSup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sz="1100" b="0" i="0">
                                <a:latin typeface="Cambria Math" panose="02040503050406030204" pitchFamily="18" charset="0"/>
                              </a:rPr>
                              <m:t>tan</m:t>
                            </m:r>
                          </m:e>
                          <m:sup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fName>
                      <m:e>
                        <m:d>
                          <m:dPr>
                            <m:begChr m:val="["/>
                            <m:endChr m:val="]"/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sz="1100" b="0" i="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|</m:t>
                            </m:r>
                            <m:sSub>
                              <m:sSub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𝑋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𝐿</m:t>
                                </m:r>
                              </m:sub>
                            </m:sSub>
                            <m:r>
                              <a:rPr lang="en-US" sz="1100" b="0" i="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|/</m:t>
                            </m:r>
                            <m:r>
                              <m:rPr>
                                <m:sty m:val="p"/>
                              </m:rPr>
                              <a:rPr lang="en-US" sz="1100" b="0" i="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R</m:t>
                            </m:r>
                          </m:e>
                        </m:d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∙</m:t>
                        </m:r>
                        <m:f>
                          <m:fPr>
                            <m:ctrl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180</m:t>
                            </m:r>
                          </m:num>
                          <m:den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𝜋</m:t>
                            </m:r>
                          </m:den>
                        </m:f>
                      </m:e>
                    </m:func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EED1F1CF-C13A-4A00-B252-33908B2F2981}"/>
                </a:ext>
              </a:extLst>
            </xdr:cNvPr>
            <xdr:cNvSpPr txBox="1"/>
          </xdr:nvSpPr>
          <xdr:spPr>
            <a:xfrm>
              <a:off x="3793435" y="8111434"/>
              <a:ext cx="1681999" cy="502638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𝜃</a:t>
              </a:r>
              <a:r>
                <a:rPr lang="en-US" sz="1100" b="0" i="0">
                  <a:latin typeface="Cambria Math" panose="02040503050406030204" pitchFamily="18" charset="0"/>
                </a:rPr>
                <a:t>=  tan^(−1)⁡〖[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|𝑋_𝐿 |/R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]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∙180/𝜋〗</a:t>
              </a:r>
              <a:endParaRPr lang="en-US" sz="1100"/>
            </a:p>
          </xdr:txBody>
        </xdr:sp>
      </mc:Fallback>
    </mc:AlternateContent>
    <xdr:clientData/>
  </xdr:oneCellAnchor>
  <xdr:twoCellAnchor editAs="oneCell">
    <xdr:from>
      <xdr:col>1</xdr:col>
      <xdr:colOff>77303</xdr:colOff>
      <xdr:row>4</xdr:row>
      <xdr:rowOff>49695</xdr:rowOff>
    </xdr:from>
    <xdr:to>
      <xdr:col>4</xdr:col>
      <xdr:colOff>33131</xdr:colOff>
      <xdr:row>12</xdr:row>
      <xdr:rowOff>163812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EFB1F07-CD75-40BA-3030-2ED98C44F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9260" y="833782"/>
          <a:ext cx="2009914" cy="157185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98106</xdr:colOff>
      <xdr:row>11</xdr:row>
      <xdr:rowOff>32034</xdr:rowOff>
    </xdr:from>
    <xdr:ext cx="1794227" cy="54924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40CB398-77FF-4FDA-BC4B-F16C79C1F85D}"/>
                </a:ext>
              </a:extLst>
            </xdr:cNvPr>
            <xdr:cNvSpPr txBox="1"/>
          </xdr:nvSpPr>
          <xdr:spPr>
            <a:xfrm>
              <a:off x="3397118" y="2058058"/>
              <a:ext cx="1794227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𝐼𝑜𝑢𝑡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𝑉𝑖𝑛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𝑅𝑠𝑒𝑛𝑠𝑒</m:t>
                        </m:r>
                      </m:den>
                    </m:f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40CB398-77FF-4FDA-BC4B-F16C79C1F85D}"/>
                </a:ext>
              </a:extLst>
            </xdr:cNvPr>
            <xdr:cNvSpPr txBox="1"/>
          </xdr:nvSpPr>
          <xdr:spPr>
            <a:xfrm>
              <a:off x="3397118" y="2058058"/>
              <a:ext cx="1794227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𝐼𝑜𝑢𝑡=𝑉𝑖𝑛/𝑅𝑠𝑒𝑛𝑠𝑒</a:t>
              </a:r>
              <a:endParaRPr lang="en-US" sz="1200"/>
            </a:p>
          </xdr:txBody>
        </xdr:sp>
      </mc:Fallback>
    </mc:AlternateContent>
    <xdr:clientData/>
  </xdr:oneCellAnchor>
  <xdr:twoCellAnchor editAs="oneCell">
    <xdr:from>
      <xdr:col>1</xdr:col>
      <xdr:colOff>10308</xdr:colOff>
      <xdr:row>4</xdr:row>
      <xdr:rowOff>116540</xdr:rowOff>
    </xdr:from>
    <xdr:to>
      <xdr:col>5</xdr:col>
      <xdr:colOff>49053</xdr:colOff>
      <xdr:row>20</xdr:row>
      <xdr:rowOff>53787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89048F-FAEC-21BB-F08A-10C48FE09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2990" y="887505"/>
          <a:ext cx="2495075" cy="280595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613890</xdr:colOff>
      <xdr:row>25</xdr:row>
      <xdr:rowOff>45194</xdr:rowOff>
    </xdr:from>
    <xdr:ext cx="1955417" cy="46769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D9C0157-A108-43E6-A043-4031088E2177}"/>
                </a:ext>
              </a:extLst>
            </xdr:cNvPr>
            <xdr:cNvSpPr txBox="1"/>
          </xdr:nvSpPr>
          <xdr:spPr>
            <a:xfrm>
              <a:off x="3329736" y="3620732"/>
              <a:ext cx="1955417" cy="467690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𝐼𝑙𝑒𝑎𝑘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2=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𝐼𝑙𝑒𝑎𝑘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1∙</m:t>
                    </m:r>
                    <m:sSup>
                      <m:sSupPr>
                        <m:ctrl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e>
                      <m:sup>
                        <m:f>
                          <m:f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𝑇</m:t>
                            </m:r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2−</m:t>
                            </m:r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𝑇</m:t>
                            </m:r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num>
                          <m:den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𝑁</m:t>
                            </m:r>
                          </m:den>
                        </m:f>
                      </m:sup>
                    </m:sSup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D9C0157-A108-43E6-A043-4031088E2177}"/>
                </a:ext>
              </a:extLst>
            </xdr:cNvPr>
            <xdr:cNvSpPr txBox="1"/>
          </xdr:nvSpPr>
          <xdr:spPr>
            <a:xfrm>
              <a:off x="3329736" y="3620732"/>
              <a:ext cx="1955417" cy="467690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𝐼𝑙𝑒𝑎𝑘2=𝐼𝑙𝑒𝑎𝑘1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∙2^(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𝑇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−𝑇1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𝑁</a:t>
              </a:r>
              <a:r>
                <a:rPr lang="en-US" sz="12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)</a:t>
              </a:r>
              <a:endParaRPr lang="en-US" sz="1200"/>
            </a:p>
          </xdr:txBody>
        </xdr:sp>
      </mc:Fallback>
    </mc:AlternateContent>
    <xdr:clientData/>
  </xdr:oneCellAnchor>
  <xdr:oneCellAnchor>
    <xdr:from>
      <xdr:col>5</xdr:col>
      <xdr:colOff>38483</xdr:colOff>
      <xdr:row>34</xdr:row>
      <xdr:rowOff>60824</xdr:rowOff>
    </xdr:from>
    <xdr:ext cx="1451326" cy="74025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5E085B16-3A81-E4F1-2B3D-B9433AEF0DB3}"/>
                </a:ext>
              </a:extLst>
            </xdr:cNvPr>
            <xdr:cNvSpPr txBox="1"/>
          </xdr:nvSpPr>
          <xdr:spPr>
            <a:xfrm>
              <a:off x="3560291" y="5121286"/>
              <a:ext cx="1451326" cy="740252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𝑁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𝑇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2−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𝑇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num>
                      <m:den>
                        <m:func>
                          <m:func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uncPr>
                          <m:fName>
                            <m:sSub>
                              <m:sSub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m:rPr>
                                    <m:sty m:val="p"/>
                                  </m:rPr>
                                  <a:rPr lang="en-US" sz="11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log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fName>
                          <m:e>
                            <m:f>
                              <m:f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𝐼𝑙𝑒𝑎𝑘</m:t>
                                </m:r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num>
                              <m:den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𝐼𝑙𝑒𝑎𝑘</m:t>
                                </m:r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den>
                            </m:f>
                          </m:e>
                        </m:func>
                      </m:den>
                    </m:f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5E085B16-3A81-E4F1-2B3D-B9433AEF0DB3}"/>
                </a:ext>
              </a:extLst>
            </xdr:cNvPr>
            <xdr:cNvSpPr txBox="1"/>
          </xdr:nvSpPr>
          <xdr:spPr>
            <a:xfrm>
              <a:off x="3560291" y="5121286"/>
              <a:ext cx="1451326" cy="740252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𝑁=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(𝑇2−𝑇1)/log_2⁡〖𝐼𝑙𝑒𝑎𝑘2/𝐼𝑙𝑒𝑎𝑘1〗   </a:t>
              </a:r>
              <a:endParaRPr lang="en-US" sz="1200"/>
            </a:p>
          </xdr:txBody>
        </xdr:sp>
      </mc:Fallback>
    </mc:AlternateContent>
    <xdr:clientData/>
  </xdr:oneCellAnchor>
  <xdr:twoCellAnchor editAs="oneCell">
    <xdr:from>
      <xdr:col>1</xdr:col>
      <xdr:colOff>10084</xdr:colOff>
      <xdr:row>4</xdr:row>
      <xdr:rowOff>51921</xdr:rowOff>
    </xdr:from>
    <xdr:to>
      <xdr:col>6</xdr:col>
      <xdr:colOff>144097</xdr:colOff>
      <xdr:row>16</xdr:row>
      <xdr:rowOff>26894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C0DE96-C4A8-FDC9-3856-000073C33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2766" y="822886"/>
          <a:ext cx="3343378" cy="2126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569078</xdr:colOff>
      <xdr:row>7</xdr:row>
      <xdr:rowOff>19496</xdr:rowOff>
    </xdr:from>
    <xdr:ext cx="2179320" cy="65532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48675F43-B02E-4958-BFF3-D93CC7797E9C}"/>
                </a:ext>
              </a:extLst>
            </xdr:cNvPr>
            <xdr:cNvSpPr txBox="1"/>
          </xdr:nvSpPr>
          <xdr:spPr>
            <a:xfrm>
              <a:off x="2424382" y="1350235"/>
              <a:ext cx="2179320" cy="655320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𝐾𝑑𝑖𝑣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𝑉𝑜𝑢𝑡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𝑉𝑖𝑛</m:t>
                        </m:r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2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1+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48675F43-B02E-4958-BFF3-D93CC7797E9C}"/>
                </a:ext>
              </a:extLst>
            </xdr:cNvPr>
            <xdr:cNvSpPr txBox="1"/>
          </xdr:nvSpPr>
          <xdr:spPr>
            <a:xfrm>
              <a:off x="2424382" y="1350235"/>
              <a:ext cx="2179320" cy="655320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𝐾𝑑𝑖𝑣=  𝑉𝑜𝑢𝑡/𝑉𝑖𝑛=𝑅2/(𝑅1+𝑅2)</a:t>
              </a:r>
              <a:endParaRPr lang="en-US" sz="1200"/>
            </a:p>
          </xdr:txBody>
        </xdr:sp>
      </mc:Fallback>
    </mc:AlternateContent>
    <xdr:clientData/>
  </xdr:oneCellAnchor>
  <xdr:twoCellAnchor editAs="oneCell">
    <xdr:from>
      <xdr:col>1</xdr:col>
      <xdr:colOff>60738</xdr:colOff>
      <xdr:row>4</xdr:row>
      <xdr:rowOff>82825</xdr:rowOff>
    </xdr:from>
    <xdr:to>
      <xdr:col>2</xdr:col>
      <xdr:colOff>551395</xdr:colOff>
      <xdr:row>14</xdr:row>
      <xdr:rowOff>115956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08B189F-25D1-99F6-A7CA-00709E39F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173" y="866912"/>
          <a:ext cx="1279291" cy="185530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124402</xdr:colOff>
      <xdr:row>28</xdr:row>
      <xdr:rowOff>119984</xdr:rowOff>
    </xdr:from>
    <xdr:ext cx="1720471" cy="5323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07C9271-9C1D-436B-84E3-4FF04E95517E}"/>
                </a:ext>
              </a:extLst>
            </xdr:cNvPr>
            <xdr:cNvSpPr txBox="1"/>
          </xdr:nvSpPr>
          <xdr:spPr>
            <a:xfrm>
              <a:off x="3459273" y="4656125"/>
              <a:ext cx="1720471" cy="532325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n-US" sz="1100" b="0" i="0">
                        <a:latin typeface="Cambria Math" panose="02040503050406030204" pitchFamily="18" charset="0"/>
                      </a:rPr>
                      <m:t>f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𝑇𝑝𝑒𝑟</m:t>
                        </m:r>
                      </m:den>
                    </m:f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 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𝑇𝑜𝑛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𝑇𝑜𝑓𝑓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07C9271-9C1D-436B-84E3-4FF04E95517E}"/>
                </a:ext>
              </a:extLst>
            </xdr:cNvPr>
            <xdr:cNvSpPr txBox="1"/>
          </xdr:nvSpPr>
          <xdr:spPr>
            <a:xfrm>
              <a:off x="3459273" y="4656125"/>
              <a:ext cx="1720471" cy="532325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f=  1/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𝑇𝑝𝑒𝑟=  1/(𝑇𝑜𝑛+𝑇𝑜𝑓𝑓)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5</xdr:col>
      <xdr:colOff>38264</xdr:colOff>
      <xdr:row>24</xdr:row>
      <xdr:rowOff>13966</xdr:rowOff>
    </xdr:from>
    <xdr:ext cx="1916486" cy="35689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960827CB-183E-BE4D-8B82-8BB8CB6C49BB}"/>
                </a:ext>
              </a:extLst>
            </xdr:cNvPr>
            <xdr:cNvSpPr txBox="1"/>
          </xdr:nvSpPr>
          <xdr:spPr>
            <a:xfrm>
              <a:off x="3373135" y="3832931"/>
              <a:ext cx="1916486" cy="35689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n-US" sz="1100" b="0" i="0">
                        <a:latin typeface="Cambria Math" panose="02040503050406030204" pitchFamily="18" charset="0"/>
                      </a:rPr>
                      <m:t>Ton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=0.693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∙(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𝑅𝐴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𝑅𝐵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)∙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𝐶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960827CB-183E-BE4D-8B82-8BB8CB6C49BB}"/>
                </a:ext>
              </a:extLst>
            </xdr:cNvPr>
            <xdr:cNvSpPr txBox="1"/>
          </xdr:nvSpPr>
          <xdr:spPr>
            <a:xfrm>
              <a:off x="3373135" y="3832931"/>
              <a:ext cx="1916486" cy="35689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Ton=0.693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∙(𝑅𝐴+𝑅𝐵)∙𝐶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5</xdr:col>
      <xdr:colOff>38264</xdr:colOff>
      <xdr:row>26</xdr:row>
      <xdr:rowOff>66975</xdr:rowOff>
    </xdr:from>
    <xdr:ext cx="1574470" cy="35689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4DA6CAEB-7CBD-D245-7E19-62D64DE86DFE}"/>
                </a:ext>
              </a:extLst>
            </xdr:cNvPr>
            <xdr:cNvSpPr txBox="1"/>
          </xdr:nvSpPr>
          <xdr:spPr>
            <a:xfrm>
              <a:off x="3373135" y="4244528"/>
              <a:ext cx="1574470" cy="35689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n-US" sz="1100" b="0" i="0">
                        <a:latin typeface="Cambria Math" panose="02040503050406030204" pitchFamily="18" charset="0"/>
                      </a:rPr>
                      <m:t>Toff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=0.693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∙(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𝑅𝐵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)∙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𝐶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4DA6CAEB-7CBD-D245-7E19-62D64DE86DFE}"/>
                </a:ext>
              </a:extLst>
            </xdr:cNvPr>
            <xdr:cNvSpPr txBox="1"/>
          </xdr:nvSpPr>
          <xdr:spPr>
            <a:xfrm>
              <a:off x="3373135" y="4244528"/>
              <a:ext cx="1574470" cy="35689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Toff=0.693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∙(𝑅𝐵)∙𝐶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5</xdr:col>
      <xdr:colOff>51905</xdr:colOff>
      <xdr:row>35</xdr:row>
      <xdr:rowOff>107123</xdr:rowOff>
    </xdr:from>
    <xdr:ext cx="1736052" cy="5613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597743F2-1228-8ADF-E0A4-7F99A1A68E9B}"/>
                </a:ext>
              </a:extLst>
            </xdr:cNvPr>
            <xdr:cNvSpPr txBox="1"/>
          </xdr:nvSpPr>
          <xdr:spPr>
            <a:xfrm>
              <a:off x="3815522" y="4977297"/>
              <a:ext cx="1736052" cy="561372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n-US" sz="1100" b="0" i="0">
                        <a:latin typeface="Cambria Math" panose="02040503050406030204" pitchFamily="18" charset="0"/>
                      </a:rPr>
                      <m:t>RB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begChr m:val="["/>
                        <m:endChr m:val="]"/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𝑇𝑝𝑒𝑟</m:t>
                            </m:r>
                          </m:num>
                          <m:den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0.693∙</m:t>
                            </m:r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𝐶</m:t>
                            </m:r>
                          </m:den>
                        </m:f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𝑅𝐴</m:t>
                        </m:r>
                      </m:e>
                    </m:d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597743F2-1228-8ADF-E0A4-7F99A1A68E9B}"/>
                </a:ext>
              </a:extLst>
            </xdr:cNvPr>
            <xdr:cNvSpPr txBox="1"/>
          </xdr:nvSpPr>
          <xdr:spPr>
            <a:xfrm>
              <a:off x="3815522" y="4977297"/>
              <a:ext cx="1736052" cy="561372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RB=[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𝑇𝑝𝑒𝑟/(0.693∙𝐶)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−𝑅𝐴]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∙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endParaRPr lang="en-US" sz="1100"/>
            </a:p>
          </xdr:txBody>
        </xdr:sp>
      </mc:Fallback>
    </mc:AlternateContent>
    <xdr:clientData/>
  </xdr:oneCellAnchor>
  <xdr:twoCellAnchor editAs="oneCell">
    <xdr:from>
      <xdr:col>1</xdr:col>
      <xdr:colOff>35858</xdr:colOff>
      <xdr:row>4</xdr:row>
      <xdr:rowOff>17929</xdr:rowOff>
    </xdr:from>
    <xdr:to>
      <xdr:col>5</xdr:col>
      <xdr:colOff>177321</xdr:colOff>
      <xdr:row>18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774244-7A28-21BB-C8E7-72E2F0D56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176" y="788894"/>
          <a:ext cx="2795016" cy="2644587"/>
        </a:xfrm>
        <a:prstGeom prst="rect">
          <a:avLst/>
        </a:prstGeom>
      </xdr:spPr>
    </xdr:pic>
    <xdr:clientData/>
  </xdr:twoCellAnchor>
  <xdr:twoCellAnchor editAs="oneCell">
    <xdr:from>
      <xdr:col>5</xdr:col>
      <xdr:colOff>555812</xdr:colOff>
      <xdr:row>6</xdr:row>
      <xdr:rowOff>134471</xdr:rowOff>
    </xdr:from>
    <xdr:to>
      <xdr:col>9</xdr:col>
      <xdr:colOff>180943</xdr:colOff>
      <xdr:row>14</xdr:row>
      <xdr:rowOff>134470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9C9386C-D24C-49CB-515B-08C747CEB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90683" y="1264024"/>
          <a:ext cx="2063531" cy="1434352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600635</xdr:colOff>
      <xdr:row>7</xdr:row>
      <xdr:rowOff>170328</xdr:rowOff>
    </xdr:from>
    <xdr:to>
      <xdr:col>5</xdr:col>
      <xdr:colOff>593807</xdr:colOff>
      <xdr:row>14</xdr:row>
      <xdr:rowOff>17930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0535341-368D-D61A-ADA0-2BB92259F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635" y="1586752"/>
          <a:ext cx="3041172" cy="12281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49352</xdr:colOff>
      <xdr:row>17</xdr:row>
      <xdr:rowOff>178905</xdr:rowOff>
    </xdr:from>
    <xdr:ext cx="934165" cy="5118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9A6C4CDD-EF2B-4028-BBAD-2B6ACBDF9C51}"/>
                </a:ext>
              </a:extLst>
            </xdr:cNvPr>
            <xdr:cNvSpPr txBox="1"/>
          </xdr:nvSpPr>
          <xdr:spPr>
            <a:xfrm>
              <a:off x="2861132" y="3333585"/>
              <a:ext cx="934165" cy="511871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𝑟𝑎𝑡𝑖𝑜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sSup>
                          <m:sSup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e>
                          <m:sup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𝑁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9A6C4CDD-EF2B-4028-BBAD-2B6ACBDF9C51}"/>
                </a:ext>
              </a:extLst>
            </xdr:cNvPr>
            <xdr:cNvSpPr txBox="1"/>
          </xdr:nvSpPr>
          <xdr:spPr>
            <a:xfrm>
              <a:off x="2861132" y="3333585"/>
              <a:ext cx="934165" cy="511871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𝑟𝑎𝑡𝑖𝑜=  1/2^𝑁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4</xdr:col>
      <xdr:colOff>79283</xdr:colOff>
      <xdr:row>25</xdr:row>
      <xdr:rowOff>79512</xdr:rowOff>
    </xdr:from>
    <xdr:ext cx="1194366" cy="53713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DC26F0F7-5B10-462D-A1D1-C139224ACE1F}"/>
                </a:ext>
              </a:extLst>
            </xdr:cNvPr>
            <xdr:cNvSpPr txBox="1"/>
          </xdr:nvSpPr>
          <xdr:spPr>
            <a:xfrm>
              <a:off x="2891063" y="4514352"/>
              <a:ext cx="1194366" cy="537135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𝑁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=−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ln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⁡(2)</m:t>
                        </m:r>
                      </m:num>
                      <m:den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ln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⁡(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𝑟𝑎𝑡𝑖𝑜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)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DC26F0F7-5B10-462D-A1D1-C139224ACE1F}"/>
                </a:ext>
              </a:extLst>
            </xdr:cNvPr>
            <xdr:cNvSpPr txBox="1"/>
          </xdr:nvSpPr>
          <xdr:spPr>
            <a:xfrm>
              <a:off x="2891063" y="4514352"/>
              <a:ext cx="1194366" cy="537135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𝑁=−(ln⁡(2))/(ln⁡(𝑟𝑎𝑡𝑖𝑜))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4</xdr:col>
      <xdr:colOff>79283</xdr:colOff>
      <xdr:row>33</xdr:row>
      <xdr:rowOff>79512</xdr:rowOff>
    </xdr:from>
    <xdr:ext cx="1194366" cy="53713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9A92E319-A87C-4125-99A9-404016531856}"/>
                </a:ext>
              </a:extLst>
            </xdr:cNvPr>
            <xdr:cNvSpPr txBox="1"/>
          </xdr:nvSpPr>
          <xdr:spPr>
            <a:xfrm>
              <a:off x="2894201" y="4615653"/>
              <a:ext cx="1194366" cy="537135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𝑁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=−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ln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⁡(2)</m:t>
                        </m:r>
                      </m:num>
                      <m:den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ln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⁡(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𝑟𝑎𝑡𝑖𝑜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)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9A92E319-A87C-4125-99A9-404016531856}"/>
                </a:ext>
              </a:extLst>
            </xdr:cNvPr>
            <xdr:cNvSpPr txBox="1"/>
          </xdr:nvSpPr>
          <xdr:spPr>
            <a:xfrm>
              <a:off x="2894201" y="4615653"/>
              <a:ext cx="1194366" cy="537135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𝑁=−(ln⁡(2))/(ln⁡(𝑟𝑎𝑡𝑖𝑜))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23871</xdr:colOff>
      <xdr:row>34</xdr:row>
      <xdr:rowOff>67039</xdr:rowOff>
    </xdr:from>
    <xdr:ext cx="1781543" cy="5515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7A7826C1-FCCC-4343-B032-82B1A9F8072C}"/>
                </a:ext>
              </a:extLst>
            </xdr:cNvPr>
            <xdr:cNvSpPr txBox="1"/>
          </xdr:nvSpPr>
          <xdr:spPr>
            <a:xfrm>
              <a:off x="3842836" y="6216827"/>
              <a:ext cx="1781543" cy="551525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𝑉𝑜𝑢𝑡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 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𝑉𝑖𝑛</m:t>
                    </m:r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</m:t>
                    </m:r>
                    <m:d>
                      <m:dPr>
                        <m:begChr m:val="["/>
                        <m:endChr m:val="]"/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1−</m:t>
                        </m:r>
                        <m:sSup>
                          <m:sSup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𝑒</m:t>
                            </m:r>
                          </m:e>
                          <m:sup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f>
                              <m:f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𝑡</m:t>
                                </m:r>
                              </m:num>
                              <m:den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𝑇𝑎𝑢</m:t>
                                </m:r>
                              </m:den>
                            </m:f>
                          </m:sup>
                        </m:sSup>
                      </m:e>
                    </m:d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7A7826C1-FCCC-4343-B032-82B1A9F8072C}"/>
                </a:ext>
              </a:extLst>
            </xdr:cNvPr>
            <xdr:cNvSpPr txBox="1"/>
          </xdr:nvSpPr>
          <xdr:spPr>
            <a:xfrm>
              <a:off x="3842836" y="6216827"/>
              <a:ext cx="1781543" cy="551525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𝑉𝑜𝑢𝑡= 𝑉𝑖𝑛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[1−𝑒^(−𝑡/𝑇𝑎𝑢) ]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4</xdr:col>
      <xdr:colOff>595406</xdr:colOff>
      <xdr:row>38</xdr:row>
      <xdr:rowOff>115955</xdr:rowOff>
    </xdr:from>
    <xdr:ext cx="2255371" cy="5720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A4061809-C748-EE82-DDB6-46027B6FB02E}"/>
                </a:ext>
              </a:extLst>
            </xdr:cNvPr>
            <xdr:cNvSpPr txBox="1"/>
          </xdr:nvSpPr>
          <xdr:spPr>
            <a:xfrm>
              <a:off x="3804771" y="6982920"/>
              <a:ext cx="2255371" cy="57205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𝑉𝑜𝑢𝑡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𝑉𝑜𝑢𝑡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_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𝑓𝑖𝑛𝑎𝑙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𝑉𝑜𝑢𝑡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_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𝑓𝑖𝑛𝑎𝑙</m:t>
                        </m:r>
                      </m:den>
                    </m:f>
                    <m:r>
                      <a:rPr lang="en-US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 </m:t>
                    </m:r>
                    <m:sSup>
                      <m:sSup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𝑒</m:t>
                        </m:r>
                      </m:e>
                      <m:sup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f>
                          <m:f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</m:t>
                            </m:r>
                          </m:num>
                          <m:den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𝑇𝑎𝑢</m:t>
                            </m:r>
                          </m:den>
                        </m:f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A4061809-C748-EE82-DDB6-46027B6FB02E}"/>
                </a:ext>
              </a:extLst>
            </xdr:cNvPr>
            <xdr:cNvSpPr txBox="1"/>
          </xdr:nvSpPr>
          <xdr:spPr>
            <a:xfrm>
              <a:off x="3804771" y="6982920"/>
              <a:ext cx="2255371" cy="57205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(𝑉𝑜𝑢𝑡−𝑉𝑜𝑢𝑡_𝑓𝑖𝑛𝑎𝑙)/(𝑉𝑜𝑢𝑡_𝑓𝑖𝑛𝑎𝑙)</a:t>
              </a:r>
              <a:r>
                <a:rPr lang="en-US" sz="1100" b="0" i="0">
                  <a:latin typeface="Cambria Math" panose="02040503050406030204" pitchFamily="18" charset="0"/>
                </a:rPr>
                <a:t>=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en-US" sz="1100" b="0" i="0">
                  <a:latin typeface="Cambria Math" panose="02040503050406030204" pitchFamily="18" charset="0"/>
                </a:rPr>
                <a:t>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𝑒^(−𝑡/𝑇𝑎𝑢)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4</xdr:col>
      <xdr:colOff>408935</xdr:colOff>
      <xdr:row>7</xdr:row>
      <xdr:rowOff>90363</xdr:rowOff>
    </xdr:from>
    <xdr:ext cx="1200136" cy="50270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686A30BC-FAA5-4B08-BEBB-69072515FFE1}"/>
                </a:ext>
              </a:extLst>
            </xdr:cNvPr>
            <xdr:cNvSpPr txBox="1"/>
          </xdr:nvSpPr>
          <xdr:spPr>
            <a:xfrm>
              <a:off x="3618300" y="1399210"/>
              <a:ext cx="1200136" cy="502702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n-US" sz="1100" b="0" i="0">
                        <a:latin typeface="Cambria Math" panose="02040503050406030204" pitchFamily="18" charset="0"/>
                      </a:rPr>
                      <m:t>f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𝑐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2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𝜋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𝐶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686A30BC-FAA5-4B08-BEBB-69072515FFE1}"/>
                </a:ext>
              </a:extLst>
            </xdr:cNvPr>
            <xdr:cNvSpPr txBox="1"/>
          </xdr:nvSpPr>
          <xdr:spPr>
            <a:xfrm>
              <a:off x="3618300" y="1399210"/>
              <a:ext cx="1200136" cy="502702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f𝑐=  1/(2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𝜋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∙𝑅∙</a:t>
              </a:r>
              <a:r>
                <a:rPr lang="en-US" sz="1100" b="0" i="0">
                  <a:latin typeface="Cambria Math" panose="02040503050406030204" pitchFamily="18" charset="0"/>
                </a:rPr>
                <a:t>𝐶)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5</xdr:col>
      <xdr:colOff>2433</xdr:colOff>
      <xdr:row>42</xdr:row>
      <xdr:rowOff>80682</xdr:rowOff>
    </xdr:from>
    <xdr:ext cx="1438092" cy="63168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7D3A7281-76B3-0B7B-0737-D0EB1E57904B}"/>
                </a:ext>
              </a:extLst>
            </xdr:cNvPr>
            <xdr:cNvSpPr txBox="1"/>
          </xdr:nvSpPr>
          <xdr:spPr>
            <a:xfrm>
              <a:off x="3821398" y="7664823"/>
              <a:ext cx="1438092" cy="631688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𝑡𝑠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=−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func>
                          <m:func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uncPr>
                          <m:fName>
                            <m:r>
                              <m:rPr>
                                <m:sty m:val="p"/>
                              </m:rPr>
                              <a:rPr lang="en-US" sz="1100" b="0" i="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ln</m:t>
                            </m:r>
                          </m:fName>
                          <m:e>
                            <m:f>
                              <m:f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𝑉𝑒𝑟𝑟</m:t>
                                </m:r>
                              </m:num>
                              <m:den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𝑉𝑜𝑢𝑡</m:t>
                                </m:r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_</m:t>
                                </m:r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𝑓𝑖𝑛𝑎𝑙</m:t>
                                </m:r>
                              </m:den>
                            </m:f>
                          </m:e>
                        </m:func>
                      </m:num>
                      <m:den>
                        <m:func>
                          <m:func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uncPr>
                          <m:fName>
                            <m:r>
                              <m:rPr>
                                <m:sty m:val="p"/>
                              </m:rPr>
                              <a:rPr lang="en-US" sz="1100" b="0" i="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ln</m:t>
                            </m:r>
                          </m:fName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𝑒</m:t>
                            </m:r>
                          </m:e>
                        </m:func>
                      </m:den>
                    </m:f>
                    <m:r>
                      <a:rPr lang="en-US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𝑇𝑎𝑢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7D3A7281-76B3-0B7B-0737-D0EB1E57904B}"/>
                </a:ext>
              </a:extLst>
            </xdr:cNvPr>
            <xdr:cNvSpPr txBox="1"/>
          </xdr:nvSpPr>
          <xdr:spPr>
            <a:xfrm>
              <a:off x="3821398" y="7664823"/>
              <a:ext cx="1438092" cy="631688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𝑡𝑠=−ln⁡〖𝑉𝑒𝑟𝑟/(𝑉𝑜𝑢𝑡_𝑓𝑖𝑛𝑎𝑙)〗/ln⁡𝑒  </a:t>
              </a:r>
              <a:r>
                <a:rPr lang="en-US" sz="1100" b="0" i="0">
                  <a:latin typeface="Cambria Math" panose="02040503050406030204" pitchFamily="18" charset="0"/>
                </a:rPr>
                <a:t>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∙𝑇𝑎𝑢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8</xdr:col>
      <xdr:colOff>53527</xdr:colOff>
      <xdr:row>42</xdr:row>
      <xdr:rowOff>170330</xdr:rowOff>
    </xdr:from>
    <xdr:ext cx="2026284" cy="63168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2594CBE7-5EBD-B72D-D60D-B5F6141BFDB2}"/>
                </a:ext>
              </a:extLst>
            </xdr:cNvPr>
            <xdr:cNvSpPr txBox="1"/>
          </xdr:nvSpPr>
          <xdr:spPr>
            <a:xfrm>
              <a:off x="5701292" y="7754471"/>
              <a:ext cx="2026284" cy="631688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𝑡𝑠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1%=−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func>
                          <m:func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uncPr>
                          <m:fName>
                            <m:r>
                              <m:rPr>
                                <m:sty m:val="p"/>
                              </m:rPr>
                              <a:rPr lang="en-US" sz="1100" b="0" i="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ln</m:t>
                            </m:r>
                          </m:fName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(0.01)</m:t>
                            </m:r>
                          </m:e>
                        </m:func>
                      </m:num>
                      <m:den>
                        <m:func>
                          <m:func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uncPr>
                          <m:fName>
                            <m:r>
                              <m:rPr>
                                <m:sty m:val="p"/>
                              </m:rPr>
                              <a:rPr lang="en-US" sz="1100" b="0" i="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ln</m:t>
                            </m:r>
                          </m:fName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𝑒</m:t>
                            </m:r>
                          </m:e>
                        </m:func>
                      </m:den>
                    </m:f>
                    <m:r>
                      <a:rPr lang="en-US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𝑇𝑎𝑢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2594CBE7-5EBD-B72D-D60D-B5F6141BFDB2}"/>
                </a:ext>
              </a:extLst>
            </xdr:cNvPr>
            <xdr:cNvSpPr txBox="1"/>
          </xdr:nvSpPr>
          <xdr:spPr>
            <a:xfrm>
              <a:off x="5701292" y="7754471"/>
              <a:ext cx="2026284" cy="631688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𝑡𝑠 1%=−ln⁡〖(0.01)〗/ln⁡𝑒  </a:t>
              </a:r>
              <a:r>
                <a:rPr lang="en-US" sz="1100" b="0" i="0">
                  <a:latin typeface="Cambria Math" panose="02040503050406030204" pitchFamily="18" charset="0"/>
                </a:rPr>
                <a:t>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∙𝑇𝑎𝑢</a:t>
              </a:r>
              <a:endParaRPr lang="en-US" sz="1100"/>
            </a:p>
          </xdr:txBody>
        </xdr:sp>
      </mc:Fallback>
    </mc:AlternateContent>
    <xdr:clientData/>
  </xdr:oneCellAnchor>
  <xdr:twoCellAnchor editAs="oneCell">
    <xdr:from>
      <xdr:col>1</xdr:col>
      <xdr:colOff>0</xdr:colOff>
      <xdr:row>4</xdr:row>
      <xdr:rowOff>1</xdr:rowOff>
    </xdr:from>
    <xdr:to>
      <xdr:col>3</xdr:col>
      <xdr:colOff>600635</xdr:colOff>
      <xdr:row>12</xdr:row>
      <xdr:rowOff>79100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3D57A2-8C3F-8450-0B9E-C944316CE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0259" y="770966"/>
          <a:ext cx="2250141" cy="1513452"/>
        </a:xfrm>
        <a:prstGeom prst="rect">
          <a:avLst/>
        </a:prstGeom>
      </xdr:spPr>
    </xdr:pic>
    <xdr:clientData/>
  </xdr:twoCellAnchor>
  <xdr:oneCellAnchor>
    <xdr:from>
      <xdr:col>5</xdr:col>
      <xdr:colOff>41383</xdr:colOff>
      <xdr:row>29</xdr:row>
      <xdr:rowOff>171046</xdr:rowOff>
    </xdr:from>
    <xdr:ext cx="1200136" cy="50270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D71A2EFB-ED4D-D597-AB59-8E07F041C9B2}"/>
                </a:ext>
              </a:extLst>
            </xdr:cNvPr>
            <xdr:cNvSpPr txBox="1"/>
          </xdr:nvSpPr>
          <xdr:spPr>
            <a:xfrm>
              <a:off x="3860348" y="5424364"/>
              <a:ext cx="1200136" cy="502702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n-US" sz="1100" b="0" i="0">
                        <a:latin typeface="Cambria Math" panose="02040503050406030204" pitchFamily="18" charset="0"/>
                      </a:rPr>
                      <m:t>f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𝑐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2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𝜋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𝐶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D71A2EFB-ED4D-D597-AB59-8E07F041C9B2}"/>
                </a:ext>
              </a:extLst>
            </xdr:cNvPr>
            <xdr:cNvSpPr txBox="1"/>
          </xdr:nvSpPr>
          <xdr:spPr>
            <a:xfrm>
              <a:off x="3860348" y="5424364"/>
              <a:ext cx="1200136" cy="502702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f𝑐=  1/(2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𝜋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∙𝑅∙</a:t>
              </a:r>
              <a:r>
                <a:rPr lang="en-US" sz="1100" b="0" i="0">
                  <a:latin typeface="Cambria Math" panose="02040503050406030204" pitchFamily="18" charset="0"/>
                </a:rPr>
                <a:t>𝐶)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328253</xdr:colOff>
      <xdr:row>7</xdr:row>
      <xdr:rowOff>90362</xdr:rowOff>
    </xdr:from>
    <xdr:ext cx="1187826" cy="5323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15EE504F-D5FD-400D-9579-70C9F1F0B90E}"/>
                </a:ext>
              </a:extLst>
            </xdr:cNvPr>
            <xdr:cNvSpPr txBox="1"/>
          </xdr:nvSpPr>
          <xdr:spPr>
            <a:xfrm>
              <a:off x="3537618" y="1399209"/>
              <a:ext cx="1187826" cy="532325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n-US" sz="1100" b="0" i="0">
                        <a:latin typeface="Cambria Math" panose="02040503050406030204" pitchFamily="18" charset="0"/>
                      </a:rPr>
                      <m:t>f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𝑐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2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𝜋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𝑓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𝐶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15EE504F-D5FD-400D-9579-70C9F1F0B90E}"/>
                </a:ext>
              </a:extLst>
            </xdr:cNvPr>
            <xdr:cNvSpPr txBox="1"/>
          </xdr:nvSpPr>
          <xdr:spPr>
            <a:xfrm>
              <a:off x="3537618" y="1399209"/>
              <a:ext cx="1187826" cy="532325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f𝑐=  1/(2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𝜋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𝑓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</a:t>
              </a:r>
              <a:r>
                <a:rPr lang="en-US" sz="1100" b="0" i="0">
                  <a:latin typeface="Cambria Math" panose="02040503050406030204" pitchFamily="18" charset="0"/>
                </a:rPr>
                <a:t>𝐶)</a:t>
              </a:r>
              <a:endParaRPr lang="en-US" sz="1100"/>
            </a:p>
          </xdr:txBody>
        </xdr:sp>
      </mc:Fallback>
    </mc:AlternateContent>
    <xdr:clientData/>
  </xdr:oneCellAnchor>
  <xdr:twoCellAnchor editAs="oneCell">
    <xdr:from>
      <xdr:col>1</xdr:col>
      <xdr:colOff>17930</xdr:colOff>
      <xdr:row>4</xdr:row>
      <xdr:rowOff>8965</xdr:rowOff>
    </xdr:from>
    <xdr:to>
      <xdr:col>3</xdr:col>
      <xdr:colOff>580934</xdr:colOff>
      <xdr:row>12</xdr:row>
      <xdr:rowOff>62753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D9FEF8D-ADB9-471B-9AC0-37F4A53DB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189" y="779930"/>
          <a:ext cx="2212510" cy="1488141"/>
        </a:xfrm>
        <a:prstGeom prst="rect">
          <a:avLst/>
        </a:prstGeom>
      </xdr:spPr>
    </xdr:pic>
    <xdr:clientData/>
  </xdr:twoCellAnchor>
  <xdr:oneCellAnchor>
    <xdr:from>
      <xdr:col>5</xdr:col>
      <xdr:colOff>32417</xdr:colOff>
      <xdr:row>25</xdr:row>
      <xdr:rowOff>9679</xdr:rowOff>
    </xdr:from>
    <xdr:ext cx="1684564" cy="5650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FC5C1B7C-367C-F072-2514-B7D1EFDE20C2}"/>
                </a:ext>
              </a:extLst>
            </xdr:cNvPr>
            <xdr:cNvSpPr txBox="1"/>
          </xdr:nvSpPr>
          <xdr:spPr>
            <a:xfrm>
              <a:off x="3851382" y="4187232"/>
              <a:ext cx="1684564" cy="565026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∅</m:t>
                    </m:r>
                    <m:d>
                      <m:d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𝑓</m:t>
                        </m:r>
                      </m:e>
                    </m:d>
                    <m:r>
                      <a:rPr lang="en-US" sz="1100" b="0" i="1">
                        <a:latin typeface="Cambria Math" panose="02040503050406030204" pitchFamily="18" charset="0"/>
                      </a:rPr>
                      <m:t>=</m:t>
                    </m:r>
                    <m:func>
                      <m:func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sSup>
                          <m:sSup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sz="1100" b="0" i="0">
                                <a:latin typeface="Cambria Math" panose="02040503050406030204" pitchFamily="18" charset="0"/>
                              </a:rPr>
                              <m:t>tan</m:t>
                            </m:r>
                          </m:e>
                          <m:sup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fName>
                      <m:e>
                        <m:d>
                          <m:d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𝑓</m:t>
                                </m:r>
                              </m:num>
                              <m:den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𝑓𝑐</m:t>
                                </m:r>
                              </m:den>
                            </m:f>
                          </m:e>
                        </m:d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</m:e>
                    </m:func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180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𝜋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FC5C1B7C-367C-F072-2514-B7D1EFDE20C2}"/>
                </a:ext>
              </a:extLst>
            </xdr:cNvPr>
            <xdr:cNvSpPr txBox="1"/>
          </xdr:nvSpPr>
          <xdr:spPr>
            <a:xfrm>
              <a:off x="3851382" y="4187232"/>
              <a:ext cx="1684564" cy="565026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∅</a:t>
              </a:r>
              <a:r>
                <a:rPr lang="en-US" sz="1100" b="0" i="0">
                  <a:latin typeface="Cambria Math" panose="02040503050406030204" pitchFamily="18" charset="0"/>
                </a:rPr>
                <a:t>(𝑓)=tan^(−1)⁡〖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(𝑓/𝑓𝑐)∙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 </a:t>
              </a:r>
              <a:r>
                <a:rPr lang="en-US" sz="1100" b="0" i="0">
                  <a:latin typeface="Cambria Math" panose="02040503050406030204" pitchFamily="18" charset="0"/>
                </a:rPr>
                <a:t> 180/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𝜋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5</xdr:col>
      <xdr:colOff>0</xdr:colOff>
      <xdr:row>20</xdr:row>
      <xdr:rowOff>72886</xdr:rowOff>
    </xdr:from>
    <xdr:ext cx="1532022" cy="79600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484AEBC9-5683-4CDA-8AFA-9FE46620B96E}"/>
                </a:ext>
              </a:extLst>
            </xdr:cNvPr>
            <xdr:cNvSpPr txBox="1"/>
          </xdr:nvSpPr>
          <xdr:spPr>
            <a:xfrm>
              <a:off x="3829878" y="3829877"/>
              <a:ext cx="1532022" cy="796005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|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𝐻</m:t>
                    </m:r>
                    <m:d>
                      <m:d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𝑓</m:t>
                        </m:r>
                      </m:e>
                    </m:d>
                    <m:r>
                      <a:rPr lang="en-US" sz="1100" b="0" i="1">
                        <a:latin typeface="Cambria Math" panose="02040503050406030204" pitchFamily="18" charset="0"/>
                      </a:rPr>
                      <m:t>|= 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ad>
                          <m:radPr>
                            <m:degHide m:val="on"/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radPr>
                          <m:deg/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1+</m:t>
                            </m:r>
                            <m:sSup>
                              <m:sSup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d>
                                  <m:dPr>
                                    <m:ctrlPr>
                                      <a:rPr lang="en-US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dPr>
                                  <m:e>
                                    <m:f>
                                      <m:fPr>
                                        <m:ctrlPr>
                                          <a:rPr lang="en-US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Pr>
                                      <m:num>
                                        <m:r>
                                          <a:rPr lang="en-US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𝑓</m:t>
                                        </m:r>
                                      </m:num>
                                      <m:den>
                                        <m:r>
                                          <a:rPr lang="en-US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𝑓𝑐</m:t>
                                        </m:r>
                                      </m:den>
                                    </m:f>
                                  </m:e>
                                </m:d>
                              </m:e>
                              <m:sup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e>
                        </m:rad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484AEBC9-5683-4CDA-8AFA-9FE46620B96E}"/>
                </a:ext>
              </a:extLst>
            </xdr:cNvPr>
            <xdr:cNvSpPr txBox="1"/>
          </xdr:nvSpPr>
          <xdr:spPr>
            <a:xfrm>
              <a:off x="3829878" y="3829877"/>
              <a:ext cx="1532022" cy="796005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|𝐻(𝑓)|=  1/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√(1+(𝑓/𝑓𝑐)^2 )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5</xdr:col>
      <xdr:colOff>12472</xdr:colOff>
      <xdr:row>30</xdr:row>
      <xdr:rowOff>15590</xdr:rowOff>
    </xdr:from>
    <xdr:ext cx="1388072" cy="71320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BA74C114-781D-3FD2-D4DA-46BEED2BBBB2}"/>
                </a:ext>
              </a:extLst>
            </xdr:cNvPr>
            <xdr:cNvSpPr txBox="1"/>
          </xdr:nvSpPr>
          <xdr:spPr>
            <a:xfrm>
              <a:off x="3842350" y="5627886"/>
              <a:ext cx="1388072" cy="713209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𝑓𝑐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𝑓</m:t>
                        </m:r>
                      </m:num>
                      <m:den>
                        <m:rad>
                          <m:radPr>
                            <m:degHide m:val="on"/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radPr>
                          <m:deg/>
                          <m:e>
                            <m:f>
                              <m:f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num>
                              <m:den>
                                <m:sSup>
                                  <m:sSupPr>
                                    <m:ctrlPr>
                                      <a:rPr lang="en-US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US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|</m:t>
                                    </m:r>
                                    <m:r>
                                      <a:rPr lang="en-US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𝐻</m:t>
                                    </m:r>
                                    <m:d>
                                      <m:dPr>
                                        <m:ctrlPr>
                                          <a:rPr lang="en-US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en-US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𝑓</m:t>
                                        </m:r>
                                      </m:e>
                                    </m:d>
                                    <m:r>
                                      <a:rPr lang="en-US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|</m:t>
                                    </m:r>
                                  </m:e>
                                  <m:sup>
                                    <m:r>
                                      <a:rPr lang="en-US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p>
                                </m:sSup>
                              </m:den>
                            </m:f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−1</m:t>
                            </m:r>
                          </m:e>
                        </m:rad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BA74C114-781D-3FD2-D4DA-46BEED2BBBB2}"/>
                </a:ext>
              </a:extLst>
            </xdr:cNvPr>
            <xdr:cNvSpPr txBox="1"/>
          </xdr:nvSpPr>
          <xdr:spPr>
            <a:xfrm>
              <a:off x="3842350" y="5627886"/>
              <a:ext cx="1388072" cy="713209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𝑓𝑐=  𝑓/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√(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1/〖|𝐻(𝑓)|〗^2 −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11</xdr:col>
      <xdr:colOff>425823</xdr:colOff>
      <xdr:row>32</xdr:row>
      <xdr:rowOff>170329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E9EC687-2117-FAD0-227F-D3CDF63406D7}"/>
            </a:ext>
          </a:extLst>
        </xdr:cNvPr>
        <xdr:cNvSpPr txBox="1"/>
      </xdr:nvSpPr>
      <xdr:spPr>
        <a:xfrm>
          <a:off x="7902388" y="596152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174957</xdr:colOff>
      <xdr:row>6</xdr:row>
      <xdr:rowOff>14105</xdr:rowOff>
    </xdr:from>
    <xdr:ext cx="2137937" cy="54924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1577E51-BD74-4C39-B30B-DB6A80DF1823}"/>
                </a:ext>
              </a:extLst>
            </xdr:cNvPr>
            <xdr:cNvSpPr txBox="1"/>
          </xdr:nvSpPr>
          <xdr:spPr>
            <a:xfrm>
              <a:off x="3007804" y="1143658"/>
              <a:ext cx="2137937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𝐾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𝑉𝑜𝑢𝑡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𝑉𝑖𝑛</m:t>
                        </m:r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2+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1</m:t>
                        </m:r>
                      </m:den>
                    </m:f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1577E51-BD74-4C39-B30B-DB6A80DF1823}"/>
                </a:ext>
              </a:extLst>
            </xdr:cNvPr>
            <xdr:cNvSpPr txBox="1"/>
          </xdr:nvSpPr>
          <xdr:spPr>
            <a:xfrm>
              <a:off x="3007804" y="1143658"/>
              <a:ext cx="2137937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𝐾=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𝑉𝑜𝑢𝑡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𝑉𝑖𝑛</a:t>
              </a:r>
              <a:r>
                <a:rPr lang="en-US" sz="1200" b="0" i="0">
                  <a:latin typeface="Cambria Math" panose="02040503050406030204" pitchFamily="18" charset="0"/>
                </a:rPr>
                <a:t>=(𝑅2+𝑅1)/𝑅1</a:t>
              </a:r>
              <a:endParaRPr lang="en-US" sz="1200"/>
            </a:p>
          </xdr:txBody>
        </xdr:sp>
      </mc:Fallback>
    </mc:AlternateContent>
    <xdr:clientData/>
  </xdr:oneCellAnchor>
  <xdr:twoCellAnchor editAs="oneCell">
    <xdr:from>
      <xdr:col>1</xdr:col>
      <xdr:colOff>33130</xdr:colOff>
      <xdr:row>4</xdr:row>
      <xdr:rowOff>11044</xdr:rowOff>
    </xdr:from>
    <xdr:to>
      <xdr:col>3</xdr:col>
      <xdr:colOff>445311</xdr:colOff>
      <xdr:row>13</xdr:row>
      <xdr:rowOff>149645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9E0D4D-E6EF-1C47-A426-516BE8DC1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3478" y="795131"/>
          <a:ext cx="1833217" cy="1778557"/>
        </a:xfrm>
        <a:prstGeom prst="rect">
          <a:avLst/>
        </a:prstGeom>
      </xdr:spPr>
    </xdr:pic>
    <xdr:clientData/>
  </xdr:twoCellAnchor>
  <xdr:oneCellAnchor>
    <xdr:from>
      <xdr:col>4</xdr:col>
      <xdr:colOff>192887</xdr:colOff>
      <xdr:row>10</xdr:row>
      <xdr:rowOff>41000</xdr:rowOff>
    </xdr:from>
    <xdr:ext cx="1967608" cy="344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CD49A33B-66BF-8A5E-E377-4FF2A9BEAFE5}"/>
                </a:ext>
              </a:extLst>
            </xdr:cNvPr>
            <xdr:cNvSpPr txBox="1"/>
          </xdr:nvSpPr>
          <xdr:spPr>
            <a:xfrm>
              <a:off x="3025734" y="1887729"/>
              <a:ext cx="1967608" cy="34448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𝑅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2=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𝑅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1∙(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𝐾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−1)</m:t>
                    </m:r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CD49A33B-66BF-8A5E-E377-4FF2A9BEAFE5}"/>
                </a:ext>
              </a:extLst>
            </xdr:cNvPr>
            <xdr:cNvSpPr txBox="1"/>
          </xdr:nvSpPr>
          <xdr:spPr>
            <a:xfrm>
              <a:off x="3025734" y="1887729"/>
              <a:ext cx="1967608" cy="34448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𝑅2=𝑅1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∙(𝐾−1)</a:t>
              </a:r>
              <a:endParaRPr lang="en-US" sz="1200"/>
            </a:p>
          </xdr:txBody>
        </xdr:sp>
      </mc:Fallback>
    </mc:AlternateContent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62753</xdr:colOff>
      <xdr:row>4</xdr:row>
      <xdr:rowOff>35859</xdr:rowOff>
    </xdr:from>
    <xdr:to>
      <xdr:col>5</xdr:col>
      <xdr:colOff>170329</xdr:colOff>
      <xdr:row>11</xdr:row>
      <xdr:rowOff>120851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10BB2E-DCFD-3E1D-CB67-2D5587614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5435" y="806824"/>
          <a:ext cx="2698376" cy="1340051"/>
        </a:xfrm>
        <a:prstGeom prst="rect">
          <a:avLst/>
        </a:prstGeom>
      </xdr:spPr>
    </xdr:pic>
    <xdr:clientData/>
  </xdr:twoCellAnchor>
  <xdr:oneCellAnchor>
    <xdr:from>
      <xdr:col>5</xdr:col>
      <xdr:colOff>493060</xdr:colOff>
      <xdr:row>6</xdr:row>
      <xdr:rowOff>17929</xdr:rowOff>
    </xdr:from>
    <xdr:ext cx="2137937" cy="54924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6E7EF2F2-2937-4A6A-963C-C4DD19FBB382}"/>
                </a:ext>
              </a:extLst>
            </xdr:cNvPr>
            <xdr:cNvSpPr txBox="1"/>
          </xdr:nvSpPr>
          <xdr:spPr>
            <a:xfrm>
              <a:off x="3926542" y="1147482"/>
              <a:ext cx="2137937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𝐾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𝑉𝑜𝑢𝑡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𝑉𝑖𝑛</m:t>
                        </m:r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=−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2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𝑅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1</m:t>
                        </m:r>
                      </m:den>
                    </m:f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6E7EF2F2-2937-4A6A-963C-C4DD19FBB382}"/>
                </a:ext>
              </a:extLst>
            </xdr:cNvPr>
            <xdr:cNvSpPr txBox="1"/>
          </xdr:nvSpPr>
          <xdr:spPr>
            <a:xfrm>
              <a:off x="3926542" y="1147482"/>
              <a:ext cx="2137937" cy="54924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𝐾=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𝑉𝑜𝑢𝑡/𝑉𝑖𝑛</a:t>
              </a:r>
              <a:r>
                <a:rPr lang="en-US" sz="1200" b="0" i="0">
                  <a:latin typeface="Cambria Math" panose="02040503050406030204" pitchFamily="18" charset="0"/>
                </a:rPr>
                <a:t>=−𝑅2/𝑅1</a:t>
              </a:r>
              <a:endParaRPr lang="en-US" sz="1200"/>
            </a:p>
          </xdr:txBody>
        </xdr:sp>
      </mc:Fallback>
    </mc:AlternateContent>
    <xdr:clientData/>
  </xdr:oneCellAnchor>
  <xdr:oneCellAnchor>
    <xdr:from>
      <xdr:col>5</xdr:col>
      <xdr:colOff>510990</xdr:colOff>
      <xdr:row>10</xdr:row>
      <xdr:rowOff>44824</xdr:rowOff>
    </xdr:from>
    <xdr:ext cx="1967608" cy="344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EC914C84-FC19-4171-8A7B-C7A86AC4A35D}"/>
                </a:ext>
              </a:extLst>
            </xdr:cNvPr>
            <xdr:cNvSpPr txBox="1"/>
          </xdr:nvSpPr>
          <xdr:spPr>
            <a:xfrm>
              <a:off x="3944472" y="1891553"/>
              <a:ext cx="1967608" cy="34448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𝑅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2=−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𝑅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1∙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𝐾</m:t>
                    </m:r>
                  </m:oMath>
                </m:oMathPara>
              </a14:m>
              <a:endParaRPr lang="en-US" sz="12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EC914C84-FC19-4171-8A7B-C7A86AC4A35D}"/>
                </a:ext>
              </a:extLst>
            </xdr:cNvPr>
            <xdr:cNvSpPr txBox="1"/>
          </xdr:nvSpPr>
          <xdr:spPr>
            <a:xfrm>
              <a:off x="3944472" y="1891553"/>
              <a:ext cx="1967608" cy="344483"/>
            </a:xfrm>
            <a:prstGeom prst="rect">
              <a:avLst/>
            </a:prstGeom>
            <a:solidFill>
              <a:schemeClr val="l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91440" tIns="91440" rIns="91440" bIns="9144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𝑅2=−𝑅1∙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𝐾</a:t>
              </a:r>
              <a:endParaRPr lang="en-US" sz="1200"/>
            </a:p>
          </xdr:txBody>
        </xdr:sp>
      </mc:Fallback>
    </mc:AlternateContent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17932</xdr:colOff>
      <xdr:row>4</xdr:row>
      <xdr:rowOff>107575</xdr:rowOff>
    </xdr:from>
    <xdr:to>
      <xdr:col>6</xdr:col>
      <xdr:colOff>247431</xdr:colOff>
      <xdr:row>17</xdr:row>
      <xdr:rowOff>143436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1D92CE-7F19-62D4-EFF7-95CCA7734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191" y="878540"/>
          <a:ext cx="3743664" cy="2366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hyperlink" Target="http://www.ecircuitcenter.com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hyperlink" Target="http://www.ecircuitcenter.com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hyperlink" Target="http://www.ecircuitcenter.com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hyperlink" Target="http://www.ecircuitcenter.com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circuitcenter.com/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ecircuitcenter.com/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hyperlink" Target="http://www.ecircuitcenter.com/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hyperlink" Target="http://www.ecircuitcenter.com/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hyperlink" Target="http://www.ecircuitcenter.com/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ecircuitcenter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ecircuitcenter.com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hyperlink" Target="http://www.ecircuitcenter.com/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hyperlink" Target="http://www.ecircuitcenter.com/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hyperlink" Target="http://www.ecircuitcenter.com/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ecircuitcenter.com/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ecircuitcenter.com/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ecircuitcenter.com/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hyperlink" Target="http://www.ecircuitcenter.com/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hyperlink" Target="http://www.ecircuitcenter.com/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hyperlink" Target="http://www.ecircuitcenter.com/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hyperlink" Target="http://www.ecircuitcenter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ecircuitcenter.com/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hyperlink" Target="http://www.ecircuitcenter.com/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hyperlink" Target="https://ecircuitcenter.com/DVM1/DVM1_series.html" TargetMode="External"/><Relationship Id="rId2" Type="http://schemas.openxmlformats.org/officeDocument/2006/relationships/hyperlink" Target="https://ecircuitcenter.com/EBA/EBA_series1.html" TargetMode="External"/><Relationship Id="rId1" Type="http://schemas.openxmlformats.org/officeDocument/2006/relationships/hyperlink" Target="https://ecircuitcenter.com/Circuits.htm" TargetMode="External"/><Relationship Id="rId6" Type="http://schemas.openxmlformats.org/officeDocument/2006/relationships/drawing" Target="../drawings/drawing31.xml"/><Relationship Id="rId5" Type="http://schemas.openxmlformats.org/officeDocument/2006/relationships/hyperlink" Target="https://ecircuitcenter.com/SMU/SMU-series.html" TargetMode="External"/><Relationship Id="rId4" Type="http://schemas.openxmlformats.org/officeDocument/2006/relationships/hyperlink" Target="https://ecircuitcenter.com/LTSPICE/op_amp_series_1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ecircuitcenter.com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circuitcenter.com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://www.ecircuitcenter.com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circuitcenter.com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circuitcenter.com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http://www.ecircuitcent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4E00A-3B0F-42AF-8853-D0A608AD7698}">
  <sheetPr codeName="Sheet1">
    <tabColor theme="5" tint="0.59999389629810485"/>
  </sheetPr>
  <dimension ref="A1"/>
  <sheetViews>
    <sheetView tabSelected="1" zoomScale="85" zoomScaleNormal="85" workbookViewId="0">
      <selection activeCell="I17" sqref="I17"/>
    </sheetView>
  </sheetViews>
  <sheetFormatPr defaultRowHeight="14.4" x14ac:dyDescent="0.3"/>
  <sheetData>
    <row r="1" spans="1:1" ht="18" x14ac:dyDescent="0.35">
      <c r="A1" s="8" t="s">
        <v>348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F92D5-8909-452B-829E-BBBD7ABD1B20}">
  <dimension ref="A1:E28"/>
  <sheetViews>
    <sheetView zoomScale="85" zoomScaleNormal="85" workbookViewId="0">
      <selection activeCell="A5" sqref="A5"/>
    </sheetView>
  </sheetViews>
  <sheetFormatPr defaultRowHeight="14.4" x14ac:dyDescent="0.3"/>
  <cols>
    <col min="1" max="1" width="13.88671875" customWidth="1"/>
    <col min="2" max="2" width="15.21875" customWidth="1"/>
  </cols>
  <sheetData>
    <row r="1" spans="1:5" ht="18" x14ac:dyDescent="0.35">
      <c r="A1" s="8" t="s">
        <v>476</v>
      </c>
    </row>
    <row r="2" spans="1:5" x14ac:dyDescent="0.3">
      <c r="A2" s="3" t="s">
        <v>2</v>
      </c>
      <c r="D2" s="9"/>
      <c r="E2" s="4" t="s">
        <v>41</v>
      </c>
    </row>
    <row r="3" spans="1:5" x14ac:dyDescent="0.3">
      <c r="D3" s="15"/>
      <c r="E3" s="10" t="s">
        <v>42</v>
      </c>
    </row>
    <row r="7" spans="1:5" s="1" customFormat="1" x14ac:dyDescent="0.3">
      <c r="A7" s="46" t="s">
        <v>461</v>
      </c>
    </row>
    <row r="8" spans="1:5" s="1" customFormat="1" x14ac:dyDescent="0.3">
      <c r="A8" s="7" t="s">
        <v>266</v>
      </c>
      <c r="B8" s="44">
        <v>200000</v>
      </c>
      <c r="C8" s="4"/>
    </row>
    <row r="9" spans="1:5" s="1" customFormat="1" x14ac:dyDescent="0.3">
      <c r="A9" s="7" t="s">
        <v>462</v>
      </c>
      <c r="B9" s="45">
        <v>10</v>
      </c>
      <c r="C9" s="46"/>
      <c r="E9" s="4"/>
    </row>
    <row r="11" spans="1:5" s="1" customFormat="1" x14ac:dyDescent="0.3">
      <c r="A11" s="14" t="s">
        <v>463</v>
      </c>
      <c r="B11" s="20">
        <f>2*PI()*B8*B9*0.000001</f>
        <v>12.566370614359171</v>
      </c>
      <c r="C11" s="46" t="s">
        <v>464</v>
      </c>
      <c r="E11" s="4"/>
    </row>
    <row r="12" spans="1:5" s="1" customFormat="1" x14ac:dyDescent="0.3">
      <c r="B12" s="5"/>
      <c r="C12" s="4"/>
    </row>
    <row r="13" spans="1:5" s="1" customFormat="1" x14ac:dyDescent="0.3">
      <c r="B13" s="5"/>
      <c r="C13" s="4"/>
    </row>
    <row r="14" spans="1:5" s="1" customFormat="1" x14ac:dyDescent="0.3">
      <c r="B14" s="5"/>
      <c r="C14" s="4"/>
    </row>
    <row r="15" spans="1:5" s="1" customFormat="1" x14ac:dyDescent="0.3">
      <c r="B15" s="5"/>
      <c r="C15" s="4"/>
    </row>
    <row r="16" spans="1:5" s="1" customFormat="1" x14ac:dyDescent="0.3">
      <c r="B16" s="5"/>
      <c r="C16" s="4"/>
    </row>
    <row r="17" spans="1:5" s="1" customFormat="1" x14ac:dyDescent="0.3">
      <c r="B17" s="5"/>
      <c r="C17" s="4"/>
    </row>
    <row r="18" spans="1:5" s="1" customFormat="1" x14ac:dyDescent="0.3">
      <c r="B18" s="5"/>
      <c r="C18" s="4"/>
    </row>
    <row r="19" spans="1:5" s="1" customFormat="1" x14ac:dyDescent="0.3">
      <c r="B19" s="5"/>
      <c r="C19" s="4"/>
    </row>
    <row r="20" spans="1:5" s="1" customFormat="1" x14ac:dyDescent="0.3">
      <c r="B20" s="5"/>
      <c r="C20" s="4"/>
    </row>
    <row r="21" spans="1:5" s="1" customFormat="1" x14ac:dyDescent="0.3">
      <c r="B21" s="5"/>
      <c r="C21" s="4"/>
    </row>
    <row r="22" spans="1:5" s="1" customFormat="1" x14ac:dyDescent="0.3">
      <c r="A22" s="46" t="s">
        <v>482</v>
      </c>
    </row>
    <row r="23" spans="1:5" s="1" customFormat="1" x14ac:dyDescent="0.3">
      <c r="A23" s="7" t="s">
        <v>153</v>
      </c>
      <c r="B23" s="44">
        <v>200000</v>
      </c>
      <c r="C23" s="4" t="s">
        <v>465</v>
      </c>
    </row>
    <row r="24" spans="1:5" s="1" customFormat="1" x14ac:dyDescent="0.3">
      <c r="A24" s="7" t="s">
        <v>481</v>
      </c>
      <c r="B24" s="45">
        <v>4</v>
      </c>
      <c r="C24" s="4"/>
    </row>
    <row r="26" spans="1:5" s="1" customFormat="1" x14ac:dyDescent="0.3">
      <c r="A26" s="14" t="s">
        <v>55</v>
      </c>
      <c r="B26" s="22">
        <f>1/(2*PI()*B23)</f>
        <v>7.9577471545947677E-7</v>
      </c>
      <c r="C26" s="46" t="s">
        <v>466</v>
      </c>
      <c r="E26" s="4"/>
    </row>
    <row r="27" spans="1:5" s="1" customFormat="1" x14ac:dyDescent="0.3">
      <c r="A27" s="14" t="s">
        <v>463</v>
      </c>
      <c r="B27" s="20">
        <f>B24/B26*0.000001</f>
        <v>5.0265482457436681</v>
      </c>
      <c r="C27" s="46" t="s">
        <v>467</v>
      </c>
      <c r="E27" s="4"/>
    </row>
    <row r="28" spans="1:5" s="1" customFormat="1" x14ac:dyDescent="0.3"/>
  </sheetData>
  <hyperlinks>
    <hyperlink ref="A2" r:id="rId1" xr:uid="{A2EEAFD6-0739-4C1A-8F37-FD72133F2C63}"/>
  </hyperlink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8413D-3421-449C-A4D1-505BEF8B3643}">
  <dimension ref="A1:G35"/>
  <sheetViews>
    <sheetView zoomScale="85" zoomScaleNormal="85" workbookViewId="0">
      <selection activeCell="R8" sqref="R8"/>
    </sheetView>
  </sheetViews>
  <sheetFormatPr defaultColWidth="8.77734375" defaultRowHeight="14.4" x14ac:dyDescent="0.3"/>
  <cols>
    <col min="1" max="1" width="9.77734375" style="1" customWidth="1"/>
    <col min="2" max="2" width="9.5546875" style="1" bestFit="1" customWidth="1"/>
    <col min="3" max="3" width="8.77734375" style="4"/>
    <col min="4" max="16384" width="8.77734375" style="1"/>
  </cols>
  <sheetData>
    <row r="1" spans="1:5" ht="18" x14ac:dyDescent="0.35">
      <c r="A1" s="2" t="s">
        <v>326</v>
      </c>
    </row>
    <row r="2" spans="1:5" x14ac:dyDescent="0.3">
      <c r="A2" s="3" t="s">
        <v>2</v>
      </c>
      <c r="D2" s="9"/>
      <c r="E2" s="4" t="s">
        <v>17</v>
      </c>
    </row>
    <row r="3" spans="1:5" x14ac:dyDescent="0.3">
      <c r="D3" s="15"/>
      <c r="E3" s="10" t="s">
        <v>18</v>
      </c>
    </row>
    <row r="4" spans="1:5" x14ac:dyDescent="0.3">
      <c r="D4" s="10"/>
      <c r="E4" s="10"/>
    </row>
    <row r="5" spans="1:5" x14ac:dyDescent="0.3">
      <c r="B5"/>
      <c r="D5" s="10"/>
      <c r="E5" s="10"/>
    </row>
    <row r="6" spans="1:5" x14ac:dyDescent="0.3">
      <c r="D6" s="10"/>
      <c r="E6" s="10"/>
    </row>
    <row r="7" spans="1:5" x14ac:dyDescent="0.3">
      <c r="D7" s="10"/>
      <c r="E7" s="10"/>
    </row>
    <row r="8" spans="1:5" x14ac:dyDescent="0.3">
      <c r="B8"/>
      <c r="D8" s="10"/>
      <c r="E8" s="10"/>
    </row>
    <row r="9" spans="1:5" x14ac:dyDescent="0.3">
      <c r="D9" s="10"/>
      <c r="E9" s="10"/>
    </row>
    <row r="10" spans="1:5" x14ac:dyDescent="0.3">
      <c r="D10" s="10"/>
      <c r="E10" s="10"/>
    </row>
    <row r="11" spans="1:5" x14ac:dyDescent="0.3">
      <c r="D11" s="10"/>
      <c r="E11" s="10"/>
    </row>
    <row r="12" spans="1:5" x14ac:dyDescent="0.3">
      <c r="D12" s="10"/>
      <c r="E12" s="10"/>
    </row>
    <row r="17" spans="1:7" x14ac:dyDescent="0.3">
      <c r="A17" s="4" t="s">
        <v>158</v>
      </c>
      <c r="E17"/>
    </row>
    <row r="18" spans="1:7" customFormat="1" x14ac:dyDescent="0.3">
      <c r="A18" s="7" t="s">
        <v>0</v>
      </c>
      <c r="B18" s="1">
        <v>1000</v>
      </c>
      <c r="C18" t="s">
        <v>187</v>
      </c>
    </row>
    <row r="19" spans="1:7" customFormat="1" x14ac:dyDescent="0.3">
      <c r="A19" s="7" t="s">
        <v>1</v>
      </c>
      <c r="B19" s="1">
        <v>2000</v>
      </c>
      <c r="C19" t="s">
        <v>187</v>
      </c>
    </row>
    <row r="20" spans="1:7" customFormat="1" x14ac:dyDescent="0.3">
      <c r="A20" s="7" t="s">
        <v>5</v>
      </c>
      <c r="B20" s="1">
        <v>1000</v>
      </c>
      <c r="C20" t="s">
        <v>187</v>
      </c>
    </row>
    <row r="21" spans="1:7" customFormat="1" x14ac:dyDescent="0.3">
      <c r="A21" s="7" t="s">
        <v>327</v>
      </c>
      <c r="B21" s="1">
        <v>2000</v>
      </c>
      <c r="C21" t="s">
        <v>187</v>
      </c>
    </row>
    <row r="23" spans="1:7" x14ac:dyDescent="0.3">
      <c r="A23" s="4" t="s">
        <v>106</v>
      </c>
      <c r="E23"/>
    </row>
    <row r="24" spans="1:7" customFormat="1" x14ac:dyDescent="0.3">
      <c r="A24" s="7" t="s">
        <v>331</v>
      </c>
      <c r="B24" s="6">
        <v>0.5</v>
      </c>
      <c r="C24" t="s">
        <v>332</v>
      </c>
    </row>
    <row r="25" spans="1:7" customFormat="1" x14ac:dyDescent="0.3">
      <c r="A25" s="7" t="s">
        <v>333</v>
      </c>
      <c r="B25" s="6">
        <v>-0.5</v>
      </c>
      <c r="C25" t="s">
        <v>334</v>
      </c>
    </row>
    <row r="26" spans="1:7" customFormat="1" x14ac:dyDescent="0.3">
      <c r="A26" s="7" t="s">
        <v>335</v>
      </c>
      <c r="B26" s="6">
        <v>5</v>
      </c>
      <c r="C26" t="s">
        <v>336</v>
      </c>
    </row>
    <row r="27" spans="1:7" customFormat="1" x14ac:dyDescent="0.3">
      <c r="B27" s="1"/>
    </row>
    <row r="28" spans="1:7" customFormat="1" x14ac:dyDescent="0.3">
      <c r="A28" s="4" t="s">
        <v>339</v>
      </c>
      <c r="G28" s="35"/>
    </row>
    <row r="29" spans="1:7" customFormat="1" x14ac:dyDescent="0.3">
      <c r="A29" s="14" t="s">
        <v>329</v>
      </c>
      <c r="B29" s="6">
        <f>$B$21/($B$20+$B$21)*($B$18+$B$19)/$B$18</f>
        <v>2</v>
      </c>
      <c r="C29" t="s">
        <v>328</v>
      </c>
      <c r="G29" s="35"/>
    </row>
    <row r="30" spans="1:7" customFormat="1" x14ac:dyDescent="0.3">
      <c r="A30" s="14" t="s">
        <v>152</v>
      </c>
      <c r="B30" s="6">
        <f>-$B$19/$B$18</f>
        <v>-2</v>
      </c>
      <c r="C30" s="18" t="s">
        <v>330</v>
      </c>
      <c r="G30" s="35"/>
    </row>
    <row r="34" spans="1:3" x14ac:dyDescent="0.3">
      <c r="A34" s="4" t="s">
        <v>371</v>
      </c>
      <c r="B34"/>
      <c r="C34"/>
    </row>
    <row r="35" spans="1:3" x14ac:dyDescent="0.3">
      <c r="A35" s="14" t="s">
        <v>338</v>
      </c>
      <c r="B35" s="6">
        <f>(B24+B26)*B29+(B25+B26)*B30</f>
        <v>2</v>
      </c>
      <c r="C35" t="s">
        <v>337</v>
      </c>
    </row>
  </sheetData>
  <hyperlinks>
    <hyperlink ref="A2" r:id="rId1" xr:uid="{A6A49534-D4BB-4D5B-839D-53E6E8409371}"/>
  </hyperlinks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F60A7-F510-4208-B12D-37B14E4F79D5}">
  <sheetPr codeName="Sheet7"/>
  <dimension ref="A1:F24"/>
  <sheetViews>
    <sheetView zoomScale="85" zoomScaleNormal="85" workbookViewId="0">
      <selection activeCell="Q20" sqref="Q20"/>
    </sheetView>
  </sheetViews>
  <sheetFormatPr defaultColWidth="8.77734375" defaultRowHeight="14.4" x14ac:dyDescent="0.3"/>
  <cols>
    <col min="1" max="1" width="12.21875" style="1" customWidth="1"/>
    <col min="2" max="2" width="9.5546875" style="1" bestFit="1" customWidth="1"/>
    <col min="3" max="3" width="8.77734375" style="4"/>
    <col min="4" max="16384" width="8.77734375" style="1"/>
  </cols>
  <sheetData>
    <row r="1" spans="1:6" ht="18" x14ac:dyDescent="0.35">
      <c r="A1" s="2" t="s">
        <v>352</v>
      </c>
    </row>
    <row r="2" spans="1:6" x14ac:dyDescent="0.3">
      <c r="A2" s="3" t="s">
        <v>2</v>
      </c>
      <c r="D2" s="9"/>
      <c r="E2" s="4" t="s">
        <v>17</v>
      </c>
    </row>
    <row r="3" spans="1:6" x14ac:dyDescent="0.3">
      <c r="D3" s="15"/>
      <c r="E3" s="10" t="s">
        <v>18</v>
      </c>
    </row>
    <row r="4" spans="1:6" x14ac:dyDescent="0.3">
      <c r="D4" s="10"/>
      <c r="E4" s="10"/>
    </row>
    <row r="5" spans="1:6" x14ac:dyDescent="0.3">
      <c r="B5"/>
      <c r="D5" s="10"/>
      <c r="E5" s="10"/>
    </row>
    <row r="6" spans="1:6" x14ac:dyDescent="0.3">
      <c r="B6"/>
      <c r="D6" s="10"/>
      <c r="E6" s="10"/>
    </row>
    <row r="7" spans="1:6" x14ac:dyDescent="0.3">
      <c r="D7" s="10"/>
      <c r="E7" s="10"/>
    </row>
    <row r="8" spans="1:6" x14ac:dyDescent="0.3">
      <c r="B8"/>
      <c r="D8" s="10"/>
      <c r="E8" s="10"/>
    </row>
    <row r="9" spans="1:6" x14ac:dyDescent="0.3">
      <c r="D9" s="10"/>
      <c r="E9" s="10"/>
    </row>
    <row r="10" spans="1:6" x14ac:dyDescent="0.3">
      <c r="D10" s="10"/>
      <c r="E10" s="10"/>
    </row>
    <row r="11" spans="1:6" x14ac:dyDescent="0.3">
      <c r="D11" s="10"/>
      <c r="E11" s="10"/>
    </row>
    <row r="12" spans="1:6" x14ac:dyDescent="0.3">
      <c r="D12" s="10"/>
      <c r="E12" s="10"/>
    </row>
    <row r="15" spans="1:6" x14ac:dyDescent="0.3">
      <c r="A15" s="4" t="s">
        <v>158</v>
      </c>
      <c r="E15"/>
    </row>
    <row r="16" spans="1:6" x14ac:dyDescent="0.3">
      <c r="A16" s="7" t="s">
        <v>12</v>
      </c>
      <c r="B16" s="6">
        <v>1</v>
      </c>
      <c r="C16" s="4" t="s">
        <v>160</v>
      </c>
      <c r="F16"/>
    </row>
    <row r="17" spans="1:6" ht="16.8" x14ac:dyDescent="0.35">
      <c r="A17" s="23" t="s">
        <v>159</v>
      </c>
      <c r="B17" s="6">
        <v>1E-3</v>
      </c>
      <c r="C17" s="4" t="s">
        <v>161</v>
      </c>
      <c r="F17"/>
    </row>
    <row r="18" spans="1:6" x14ac:dyDescent="0.3">
      <c r="A18" s="7" t="s">
        <v>0</v>
      </c>
      <c r="B18" s="1">
        <v>100000</v>
      </c>
      <c r="F18"/>
    </row>
    <row r="19" spans="1:6" x14ac:dyDescent="0.3">
      <c r="A19" s="7" t="s">
        <v>157</v>
      </c>
      <c r="B19" s="22">
        <v>1.0000000000000001E-9</v>
      </c>
    </row>
    <row r="21" spans="1:6" x14ac:dyDescent="0.3">
      <c r="A21" s="4" t="s">
        <v>170</v>
      </c>
      <c r="E21"/>
    </row>
    <row r="22" spans="1:6" x14ac:dyDescent="0.3">
      <c r="A22" s="14" t="s">
        <v>165</v>
      </c>
      <c r="B22" s="22">
        <f>B16/B18</f>
        <v>1.0000000000000001E-5</v>
      </c>
      <c r="C22" s="4" t="s">
        <v>168</v>
      </c>
    </row>
    <row r="23" spans="1:6" x14ac:dyDescent="0.3">
      <c r="A23" s="14" t="s">
        <v>162</v>
      </c>
      <c r="B23" s="22">
        <f>B22</f>
        <v>1.0000000000000001E-5</v>
      </c>
      <c r="C23" s="4" t="s">
        <v>165</v>
      </c>
    </row>
    <row r="24" spans="1:6" x14ac:dyDescent="0.3">
      <c r="A24" s="14" t="s">
        <v>171</v>
      </c>
      <c r="B24" s="20">
        <f>-1/B19*B23*B17</f>
        <v>-10</v>
      </c>
      <c r="C24" s="24" t="s">
        <v>163</v>
      </c>
    </row>
  </sheetData>
  <hyperlinks>
    <hyperlink ref="A2" r:id="rId1" xr:uid="{5F2B6E20-FD28-4270-AA9F-91417205A017}"/>
  </hyperlinks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C65E2-8689-42FD-862A-3C6C3C969E4A}">
  <sheetPr codeName="Sheet8"/>
  <dimension ref="A1:F24"/>
  <sheetViews>
    <sheetView zoomScale="85" zoomScaleNormal="85" workbookViewId="0">
      <selection activeCell="B16" sqref="B16"/>
    </sheetView>
  </sheetViews>
  <sheetFormatPr defaultColWidth="8.77734375" defaultRowHeight="14.4" x14ac:dyDescent="0.3"/>
  <cols>
    <col min="1" max="1" width="12.21875" style="1" customWidth="1"/>
    <col min="2" max="2" width="9.5546875" style="1" bestFit="1" customWidth="1"/>
    <col min="3" max="3" width="8.77734375" style="4"/>
    <col min="4" max="16384" width="8.77734375" style="1"/>
  </cols>
  <sheetData>
    <row r="1" spans="1:6" ht="18" x14ac:dyDescent="0.35">
      <c r="A1" s="2" t="s">
        <v>353</v>
      </c>
    </row>
    <row r="2" spans="1:6" x14ac:dyDescent="0.3">
      <c r="A2" s="3" t="s">
        <v>2</v>
      </c>
      <c r="D2" s="9"/>
      <c r="E2" s="4" t="s">
        <v>17</v>
      </c>
    </row>
    <row r="3" spans="1:6" x14ac:dyDescent="0.3">
      <c r="D3" s="15"/>
      <c r="E3" s="10" t="s">
        <v>18</v>
      </c>
    </row>
    <row r="4" spans="1:6" x14ac:dyDescent="0.3">
      <c r="D4" s="10"/>
      <c r="E4" s="10"/>
    </row>
    <row r="5" spans="1:6" x14ac:dyDescent="0.3">
      <c r="B5"/>
      <c r="D5" s="10"/>
      <c r="E5" s="10"/>
    </row>
    <row r="6" spans="1:6" x14ac:dyDescent="0.3">
      <c r="B6"/>
      <c r="D6" s="10"/>
      <c r="E6" s="10"/>
    </row>
    <row r="7" spans="1:6" x14ac:dyDescent="0.3">
      <c r="D7" s="10"/>
      <c r="E7" s="10"/>
    </row>
    <row r="8" spans="1:6" x14ac:dyDescent="0.3">
      <c r="B8"/>
      <c r="D8" s="10"/>
      <c r="E8" s="10"/>
    </row>
    <row r="9" spans="1:6" x14ac:dyDescent="0.3">
      <c r="D9" s="10"/>
      <c r="E9" s="10"/>
    </row>
    <row r="10" spans="1:6" x14ac:dyDescent="0.3">
      <c r="D10" s="10"/>
      <c r="E10" s="10"/>
    </row>
    <row r="11" spans="1:6" x14ac:dyDescent="0.3">
      <c r="D11" s="10"/>
      <c r="E11" s="10"/>
    </row>
    <row r="12" spans="1:6" x14ac:dyDescent="0.3">
      <c r="D12" s="10"/>
      <c r="E12" s="10"/>
    </row>
    <row r="15" spans="1:6" x14ac:dyDescent="0.3">
      <c r="A15" s="4" t="s">
        <v>158</v>
      </c>
      <c r="E15"/>
    </row>
    <row r="16" spans="1:6" x14ac:dyDescent="0.3">
      <c r="A16" s="7" t="s">
        <v>164</v>
      </c>
      <c r="B16" s="6">
        <v>10</v>
      </c>
      <c r="C16" s="4" t="s">
        <v>169</v>
      </c>
      <c r="F16"/>
    </row>
    <row r="17" spans="1:6" ht="16.8" x14ac:dyDescent="0.35">
      <c r="A17" s="23" t="s">
        <v>159</v>
      </c>
      <c r="B17" s="6">
        <v>1E-3</v>
      </c>
      <c r="F17"/>
    </row>
    <row r="18" spans="1:6" x14ac:dyDescent="0.3">
      <c r="A18" s="7" t="s">
        <v>157</v>
      </c>
      <c r="B18" s="22">
        <v>1.0000000000000001E-9</v>
      </c>
    </row>
    <row r="19" spans="1:6" x14ac:dyDescent="0.3">
      <c r="A19" s="7" t="s">
        <v>0</v>
      </c>
      <c r="B19" s="1">
        <v>100000</v>
      </c>
      <c r="F19"/>
    </row>
    <row r="21" spans="1:6" x14ac:dyDescent="0.3">
      <c r="A21" s="4" t="s">
        <v>354</v>
      </c>
      <c r="E21"/>
    </row>
    <row r="22" spans="1:6" x14ac:dyDescent="0.3">
      <c r="A22" s="14" t="s">
        <v>162</v>
      </c>
      <c r="B22" s="22">
        <f>B18*B16/B17</f>
        <v>1.0000000000000001E-5</v>
      </c>
      <c r="C22" s="4" t="s">
        <v>166</v>
      </c>
    </row>
    <row r="23" spans="1:6" x14ac:dyDescent="0.3">
      <c r="A23" s="14" t="s">
        <v>165</v>
      </c>
      <c r="B23" s="22">
        <f>B22</f>
        <v>1.0000000000000001E-5</v>
      </c>
      <c r="C23" s="4" t="s">
        <v>162</v>
      </c>
    </row>
    <row r="24" spans="1:6" x14ac:dyDescent="0.3">
      <c r="A24" s="14" t="s">
        <v>13</v>
      </c>
      <c r="B24" s="20">
        <f>-B23*B19</f>
        <v>-1</v>
      </c>
      <c r="C24" s="24" t="s">
        <v>167</v>
      </c>
    </row>
  </sheetData>
  <hyperlinks>
    <hyperlink ref="A2" r:id="rId1" xr:uid="{A54C6852-5FD8-40D3-AC5B-D1B8149C5B0D}"/>
  </hyperlinks>
  <pageMargins left="0.7" right="0.7" top="0.75" bottom="0.75" header="0.3" footer="0.3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3DC1A-5C16-4B0A-8005-3985529FC8C7}">
  <sheetPr codeName="Sheet9"/>
  <dimension ref="A1:E31"/>
  <sheetViews>
    <sheetView zoomScale="85" zoomScaleNormal="85" workbookViewId="0">
      <selection activeCell="B20" sqref="B20"/>
    </sheetView>
  </sheetViews>
  <sheetFormatPr defaultRowHeight="14.4" x14ac:dyDescent="0.3"/>
  <cols>
    <col min="1" max="1" width="14.109375" customWidth="1"/>
    <col min="2" max="2" width="16" customWidth="1"/>
  </cols>
  <sheetData>
    <row r="1" spans="1:5" ht="18" x14ac:dyDescent="0.35">
      <c r="A1" s="8" t="s">
        <v>355</v>
      </c>
    </row>
    <row r="2" spans="1:5" x14ac:dyDescent="0.3">
      <c r="A2" s="3" t="s">
        <v>2</v>
      </c>
      <c r="D2" s="9"/>
      <c r="E2" s="4" t="s">
        <v>41</v>
      </c>
    </row>
    <row r="3" spans="1:5" x14ac:dyDescent="0.3">
      <c r="D3" s="15"/>
      <c r="E3" s="10" t="s">
        <v>42</v>
      </c>
    </row>
    <row r="14" spans="1:5" x14ac:dyDescent="0.3">
      <c r="A14" t="s">
        <v>520</v>
      </c>
    </row>
    <row r="15" spans="1:5" x14ac:dyDescent="0.3">
      <c r="A15" s="7" t="s">
        <v>60</v>
      </c>
      <c r="B15" s="11">
        <v>12</v>
      </c>
      <c r="C15" s="4"/>
    </row>
    <row r="16" spans="1:5" x14ac:dyDescent="0.3">
      <c r="A16" s="14" t="s">
        <v>524</v>
      </c>
      <c r="B16" s="11">
        <f>2^B15-1</f>
        <v>4095</v>
      </c>
      <c r="C16" s="4" t="s">
        <v>525</v>
      </c>
    </row>
    <row r="17" spans="1:3" x14ac:dyDescent="0.3">
      <c r="A17" s="7" t="s">
        <v>59</v>
      </c>
      <c r="B17" s="6">
        <v>5</v>
      </c>
      <c r="C17" s="4"/>
    </row>
    <row r="18" spans="1:3" x14ac:dyDescent="0.3">
      <c r="A18" s="7" t="s">
        <v>12</v>
      </c>
      <c r="B18" s="6">
        <v>2.5</v>
      </c>
      <c r="C18" s="4"/>
    </row>
    <row r="19" spans="1:3" x14ac:dyDescent="0.3">
      <c r="A19" s="1"/>
      <c r="B19" s="6"/>
      <c r="C19" s="4"/>
    </row>
    <row r="20" spans="1:3" x14ac:dyDescent="0.3">
      <c r="A20" s="14" t="s">
        <v>62</v>
      </c>
      <c r="B20" s="11">
        <f>B18/B17*(2^B15-1)</f>
        <v>2047.5</v>
      </c>
      <c r="C20" s="4"/>
    </row>
    <row r="21" spans="1:3" x14ac:dyDescent="0.3">
      <c r="A21" s="14" t="s">
        <v>61</v>
      </c>
      <c r="B21" s="19" t="str">
        <f>DEC2HEX(B20,8)</f>
        <v>000007FF</v>
      </c>
      <c r="C21" s="24" t="s">
        <v>526</v>
      </c>
    </row>
    <row r="25" spans="1:3" x14ac:dyDescent="0.3">
      <c r="A25" t="s">
        <v>521</v>
      </c>
    </row>
    <row r="26" spans="1:3" x14ac:dyDescent="0.3">
      <c r="A26" s="7" t="s">
        <v>60</v>
      </c>
      <c r="B26" s="11">
        <v>12</v>
      </c>
      <c r="C26" s="4"/>
    </row>
    <row r="27" spans="1:3" x14ac:dyDescent="0.3">
      <c r="A27" s="14" t="s">
        <v>524</v>
      </c>
      <c r="B27" s="11">
        <f>2^B26-1</f>
        <v>4095</v>
      </c>
      <c r="C27" s="4" t="s">
        <v>525</v>
      </c>
    </row>
    <row r="28" spans="1:3" x14ac:dyDescent="0.3">
      <c r="A28" s="7" t="s">
        <v>89</v>
      </c>
      <c r="B28" s="11">
        <v>2048</v>
      </c>
      <c r="C28" s="4"/>
    </row>
    <row r="29" spans="1:3" x14ac:dyDescent="0.3">
      <c r="A29" s="7" t="s">
        <v>59</v>
      </c>
      <c r="B29" s="6">
        <v>5</v>
      </c>
      <c r="C29" s="4"/>
    </row>
    <row r="30" spans="1:3" x14ac:dyDescent="0.3">
      <c r="A30" s="1"/>
      <c r="B30" s="6"/>
      <c r="C30" s="4"/>
    </row>
    <row r="31" spans="1:3" x14ac:dyDescent="0.3">
      <c r="A31" s="14" t="s">
        <v>12</v>
      </c>
      <c r="B31" s="6">
        <f>B28/(2^B26-1)*B29</f>
        <v>2.5006105006105006</v>
      </c>
      <c r="C31" s="4"/>
    </row>
  </sheetData>
  <hyperlinks>
    <hyperlink ref="A2" r:id="rId1" xr:uid="{5B27A31B-F0D8-4EE6-A211-3F3810243283}"/>
  </hyperlinks>
  <pageMargins left="0.7" right="0.7" top="0.75" bottom="0.75" header="0.3" footer="0.3"/>
  <pageSetup orientation="portrait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CD00D-F517-4C0A-8474-4FA047EAE236}">
  <sheetPr codeName="Sheet10"/>
  <dimension ref="A1:I30"/>
  <sheetViews>
    <sheetView zoomScale="85" zoomScaleNormal="85" workbookViewId="0">
      <selection activeCell="E26" sqref="E26"/>
    </sheetView>
  </sheetViews>
  <sheetFormatPr defaultRowHeight="14.4" x14ac:dyDescent="0.3"/>
  <cols>
    <col min="1" max="1" width="14.109375" customWidth="1"/>
    <col min="2" max="2" width="16" customWidth="1"/>
  </cols>
  <sheetData>
    <row r="1" spans="1:5" ht="18" x14ac:dyDescent="0.35">
      <c r="A1" s="8" t="s">
        <v>356</v>
      </c>
    </row>
    <row r="2" spans="1:5" x14ac:dyDescent="0.3">
      <c r="A2" s="3" t="s">
        <v>2</v>
      </c>
      <c r="D2" s="9"/>
      <c r="E2" s="4" t="s">
        <v>41</v>
      </c>
    </row>
    <row r="3" spans="1:5" x14ac:dyDescent="0.3">
      <c r="D3" s="15"/>
      <c r="E3" s="10" t="s">
        <v>42</v>
      </c>
    </row>
    <row r="14" spans="1:5" x14ac:dyDescent="0.3">
      <c r="A14" t="s">
        <v>522</v>
      </c>
    </row>
    <row r="15" spans="1:5" x14ac:dyDescent="0.3">
      <c r="A15" s="7" t="s">
        <v>60</v>
      </c>
      <c r="B15" s="11">
        <v>12</v>
      </c>
      <c r="C15" s="4"/>
    </row>
    <row r="16" spans="1:5" x14ac:dyDescent="0.3">
      <c r="A16" s="14" t="s">
        <v>524</v>
      </c>
      <c r="B16" s="11">
        <f>2^B15-1</f>
        <v>4095</v>
      </c>
      <c r="C16" s="4" t="s">
        <v>525</v>
      </c>
    </row>
    <row r="17" spans="1:9" x14ac:dyDescent="0.3">
      <c r="A17" s="7" t="s">
        <v>59</v>
      </c>
      <c r="B17" s="6">
        <v>5</v>
      </c>
      <c r="C17" s="4"/>
    </row>
    <row r="18" spans="1:9" x14ac:dyDescent="0.3">
      <c r="A18" s="7" t="s">
        <v>63</v>
      </c>
      <c r="B18" s="11">
        <v>2048</v>
      </c>
      <c r="C18" s="4"/>
      <c r="I18" s="4"/>
    </row>
    <row r="19" spans="1:9" x14ac:dyDescent="0.3">
      <c r="A19" s="4"/>
    </row>
    <row r="20" spans="1:9" x14ac:dyDescent="0.3">
      <c r="A20" s="14" t="s">
        <v>13</v>
      </c>
      <c r="B20" s="6">
        <f>B18/(2^B15-1)*B17</f>
        <v>2.5006105006105006</v>
      </c>
      <c r="C20" s="4"/>
    </row>
    <row r="24" spans="1:9" x14ac:dyDescent="0.3">
      <c r="A24" t="s">
        <v>523</v>
      </c>
    </row>
    <row r="25" spans="1:9" x14ac:dyDescent="0.3">
      <c r="A25" s="7" t="s">
        <v>60</v>
      </c>
      <c r="B25" s="11">
        <v>12</v>
      </c>
      <c r="C25" s="4"/>
    </row>
    <row r="26" spans="1:9" x14ac:dyDescent="0.3">
      <c r="A26" s="14" t="s">
        <v>524</v>
      </c>
      <c r="B26" s="11">
        <f>2^B25-1</f>
        <v>4095</v>
      </c>
      <c r="C26" s="4" t="s">
        <v>525</v>
      </c>
    </row>
    <row r="27" spans="1:9" x14ac:dyDescent="0.3">
      <c r="A27" s="7" t="s">
        <v>59</v>
      </c>
      <c r="B27" s="6">
        <v>5</v>
      </c>
      <c r="C27" s="4"/>
    </row>
    <row r="28" spans="1:9" x14ac:dyDescent="0.3">
      <c r="A28" s="7" t="s">
        <v>13</v>
      </c>
      <c r="B28" s="6">
        <v>2.5</v>
      </c>
      <c r="C28" s="4"/>
      <c r="I28" s="4"/>
    </row>
    <row r="29" spans="1:9" x14ac:dyDescent="0.3">
      <c r="A29" s="4"/>
    </row>
    <row r="30" spans="1:9" x14ac:dyDescent="0.3">
      <c r="A30" s="14" t="s">
        <v>63</v>
      </c>
      <c r="B30" s="11">
        <f>B28/B27*(2^B25-1)</f>
        <v>2047.5</v>
      </c>
      <c r="C30" s="4"/>
    </row>
  </sheetData>
  <hyperlinks>
    <hyperlink ref="A2" r:id="rId1" xr:uid="{F9E68332-A4E0-4C1C-9E3C-90BB4A2DDB6F}"/>
  </hyperlinks>
  <pageMargins left="0.7" right="0.7" top="0.75" bottom="0.75" header="0.3" footer="0.3"/>
  <pageSetup orientation="portrait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FF5AC-4D94-408C-8AC5-BF53BAED9976}">
  <sheetPr codeName="Sheet11"/>
  <dimension ref="A1:F40"/>
  <sheetViews>
    <sheetView zoomScale="85" zoomScaleNormal="85" workbookViewId="0">
      <selection activeCell="K16" sqref="K16"/>
    </sheetView>
  </sheetViews>
  <sheetFormatPr defaultColWidth="8.77734375" defaultRowHeight="14.4" x14ac:dyDescent="0.3"/>
  <cols>
    <col min="1" max="1" width="13.21875" style="1" customWidth="1"/>
    <col min="2" max="2" width="8.77734375" style="1"/>
    <col min="3" max="3" width="8.77734375" style="4"/>
    <col min="4" max="16384" width="8.77734375" style="1"/>
  </cols>
  <sheetData>
    <row r="1" spans="1:5" ht="18" x14ac:dyDescent="0.35">
      <c r="A1" s="2" t="s">
        <v>65</v>
      </c>
    </row>
    <row r="2" spans="1:5" x14ac:dyDescent="0.3">
      <c r="A2" s="3" t="s">
        <v>2</v>
      </c>
      <c r="D2" s="9"/>
      <c r="E2" s="4" t="s">
        <v>17</v>
      </c>
    </row>
    <row r="3" spans="1:5" x14ac:dyDescent="0.3">
      <c r="D3" s="15"/>
      <c r="E3" s="10" t="s">
        <v>18</v>
      </c>
    </row>
    <row r="4" spans="1:5" x14ac:dyDescent="0.3">
      <c r="D4" s="10"/>
      <c r="E4" s="10"/>
    </row>
    <row r="5" spans="1:5" x14ac:dyDescent="0.3">
      <c r="D5" s="10"/>
      <c r="E5" s="10"/>
    </row>
    <row r="6" spans="1:5" x14ac:dyDescent="0.3">
      <c r="D6" s="10"/>
      <c r="E6" s="10"/>
    </row>
    <row r="7" spans="1:5" x14ac:dyDescent="0.3">
      <c r="D7" s="10"/>
      <c r="E7" s="10"/>
    </row>
    <row r="8" spans="1:5" x14ac:dyDescent="0.3">
      <c r="B8"/>
      <c r="D8" s="10"/>
      <c r="E8" s="10"/>
    </row>
    <row r="9" spans="1:5" x14ac:dyDescent="0.3">
      <c r="D9" s="10"/>
      <c r="E9" s="10"/>
    </row>
    <row r="10" spans="1:5" x14ac:dyDescent="0.3">
      <c r="D10" s="10"/>
      <c r="E10" s="10"/>
    </row>
    <row r="11" spans="1:5" x14ac:dyDescent="0.3">
      <c r="D11" s="10"/>
      <c r="E11" s="10"/>
    </row>
    <row r="12" spans="1:5" x14ac:dyDescent="0.3">
      <c r="D12" s="10"/>
      <c r="E12" s="10"/>
    </row>
    <row r="17" spans="1:6" x14ac:dyDescent="0.3">
      <c r="A17" s="4" t="s">
        <v>64</v>
      </c>
      <c r="E17"/>
    </row>
    <row r="18" spans="1:6" x14ac:dyDescent="0.3">
      <c r="A18" s="7" t="s">
        <v>59</v>
      </c>
      <c r="B18" s="6">
        <v>1.25</v>
      </c>
      <c r="F18"/>
    </row>
    <row r="19" spans="1:6" x14ac:dyDescent="0.3">
      <c r="A19" s="7" t="s">
        <v>0</v>
      </c>
      <c r="B19" s="1">
        <v>240</v>
      </c>
      <c r="F19"/>
    </row>
    <row r="20" spans="1:6" x14ac:dyDescent="0.3">
      <c r="A20" s="7" t="s">
        <v>1</v>
      </c>
      <c r="B20" s="1">
        <v>2064</v>
      </c>
    </row>
    <row r="22" spans="1:6" x14ac:dyDescent="0.3">
      <c r="A22" s="14" t="s">
        <v>13</v>
      </c>
      <c r="B22" s="20">
        <f>B18*(B20+B19)/B19</f>
        <v>12</v>
      </c>
      <c r="C22" s="4" t="s">
        <v>78</v>
      </c>
    </row>
    <row r="24" spans="1:6" x14ac:dyDescent="0.3">
      <c r="A24" s="4" t="s">
        <v>3</v>
      </c>
      <c r="E24"/>
    </row>
    <row r="25" spans="1:6" x14ac:dyDescent="0.3">
      <c r="A25" s="7" t="s">
        <v>59</v>
      </c>
      <c r="B25" s="6">
        <v>1.25</v>
      </c>
      <c r="F25"/>
    </row>
    <row r="26" spans="1:6" x14ac:dyDescent="0.3">
      <c r="A26" s="7" t="s">
        <v>13</v>
      </c>
      <c r="B26" s="20">
        <v>12</v>
      </c>
      <c r="F26"/>
    </row>
    <row r="27" spans="1:6" x14ac:dyDescent="0.3">
      <c r="A27" s="7" t="s">
        <v>0</v>
      </c>
      <c r="B27" s="1">
        <v>240</v>
      </c>
    </row>
    <row r="29" spans="1:6" x14ac:dyDescent="0.3">
      <c r="A29" s="14" t="s">
        <v>66</v>
      </c>
      <c r="B29" s="20">
        <f>B26/B25</f>
        <v>9.6</v>
      </c>
      <c r="C29" s="4" t="s">
        <v>67</v>
      </c>
    </row>
    <row r="30" spans="1:6" x14ac:dyDescent="0.3">
      <c r="A30" s="14" t="s">
        <v>1</v>
      </c>
      <c r="B30" s="11">
        <f>B27*(B29-1)</f>
        <v>2064</v>
      </c>
      <c r="C30" s="4" t="s">
        <v>68</v>
      </c>
    </row>
    <row r="33" spans="1:3" x14ac:dyDescent="0.3">
      <c r="A33" s="4" t="s">
        <v>73</v>
      </c>
    </row>
    <row r="34" spans="1:3" x14ac:dyDescent="0.3">
      <c r="A34" s="7" t="s">
        <v>77</v>
      </c>
      <c r="B34" s="6">
        <v>1</v>
      </c>
    </row>
    <row r="35" spans="1:3" x14ac:dyDescent="0.3">
      <c r="A35" s="7" t="s">
        <v>72</v>
      </c>
      <c r="B35" s="20">
        <v>1</v>
      </c>
      <c r="C35" s="4" t="s">
        <v>76</v>
      </c>
    </row>
    <row r="36" spans="1:3" x14ac:dyDescent="0.3">
      <c r="A36" s="7" t="s">
        <v>13</v>
      </c>
      <c r="B36" s="6">
        <v>12</v>
      </c>
    </row>
    <row r="37" spans="1:3" x14ac:dyDescent="0.3">
      <c r="A37" s="7" t="s">
        <v>69</v>
      </c>
      <c r="B37" s="6">
        <v>0.5</v>
      </c>
    </row>
    <row r="39" spans="1:3" x14ac:dyDescent="0.3">
      <c r="A39" s="14" t="s">
        <v>74</v>
      </c>
      <c r="B39" s="6">
        <f>B37/B34*B36*B35/100</f>
        <v>0.06</v>
      </c>
      <c r="C39" s="4" t="s">
        <v>75</v>
      </c>
    </row>
    <row r="40" spans="1:3" x14ac:dyDescent="0.3">
      <c r="A40" s="14" t="s">
        <v>70</v>
      </c>
      <c r="B40" s="6">
        <f>B36-B39</f>
        <v>11.94</v>
      </c>
      <c r="C40" s="4" t="s">
        <v>71</v>
      </c>
    </row>
  </sheetData>
  <hyperlinks>
    <hyperlink ref="A2" r:id="rId1" xr:uid="{13D11015-7076-4D68-94DA-77738B5E493B}"/>
  </hyperlinks>
  <pageMargins left="0.7" right="0.7" top="0.75" bottom="0.75" header="0.3" footer="0.3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DA65D-0850-4D99-9012-864ABD1F698D}">
  <sheetPr codeName="Sheet12"/>
  <dimension ref="A1:F29"/>
  <sheetViews>
    <sheetView zoomScale="85" zoomScaleNormal="85" workbookViewId="0">
      <selection activeCell="F25" sqref="F25"/>
    </sheetView>
  </sheetViews>
  <sheetFormatPr defaultColWidth="8.77734375" defaultRowHeight="14.4" x14ac:dyDescent="0.3"/>
  <cols>
    <col min="1" max="1" width="17.6640625" style="1" customWidth="1"/>
    <col min="2" max="2" width="8.77734375" style="1"/>
    <col min="3" max="3" width="8.77734375" style="4"/>
    <col min="4" max="16384" width="8.77734375" style="1"/>
  </cols>
  <sheetData>
    <row r="1" spans="1:6" ht="18" x14ac:dyDescent="0.35">
      <c r="A1" s="2" t="s">
        <v>79</v>
      </c>
    </row>
    <row r="2" spans="1:6" x14ac:dyDescent="0.3">
      <c r="A2" s="3" t="s">
        <v>2</v>
      </c>
      <c r="D2" s="9"/>
      <c r="E2" s="4" t="s">
        <v>17</v>
      </c>
    </row>
    <row r="3" spans="1:6" x14ac:dyDescent="0.3">
      <c r="D3" s="15"/>
      <c r="E3" s="10" t="s">
        <v>18</v>
      </c>
    </row>
    <row r="4" spans="1:6" x14ac:dyDescent="0.3">
      <c r="D4" s="10"/>
      <c r="E4" s="10"/>
    </row>
    <row r="5" spans="1:6" x14ac:dyDescent="0.3">
      <c r="D5" s="10"/>
      <c r="E5" s="10"/>
    </row>
    <row r="6" spans="1:6" x14ac:dyDescent="0.3">
      <c r="D6" s="10"/>
      <c r="E6" s="10"/>
    </row>
    <row r="7" spans="1:6" x14ac:dyDescent="0.3">
      <c r="D7" s="10"/>
      <c r="E7" s="10"/>
    </row>
    <row r="8" spans="1:6" x14ac:dyDescent="0.3">
      <c r="B8"/>
      <c r="D8" s="10"/>
      <c r="E8" s="10"/>
    </row>
    <row r="9" spans="1:6" x14ac:dyDescent="0.3">
      <c r="D9" s="10"/>
      <c r="E9" s="10"/>
    </row>
    <row r="10" spans="1:6" x14ac:dyDescent="0.3">
      <c r="D10" s="10"/>
      <c r="E10" s="10"/>
    </row>
    <row r="11" spans="1:6" x14ac:dyDescent="0.3">
      <c r="D11" s="10"/>
      <c r="E11" s="10"/>
    </row>
    <row r="12" spans="1:6" x14ac:dyDescent="0.3">
      <c r="D12" s="10"/>
      <c r="E12" s="10"/>
    </row>
    <row r="15" spans="1:6" x14ac:dyDescent="0.3">
      <c r="A15" s="4" t="s">
        <v>158</v>
      </c>
      <c r="E15"/>
    </row>
    <row r="16" spans="1:6" x14ac:dyDescent="0.3">
      <c r="A16" s="7" t="s">
        <v>12</v>
      </c>
      <c r="B16" s="5">
        <v>12</v>
      </c>
      <c r="F16"/>
    </row>
    <row r="17" spans="1:6" x14ac:dyDescent="0.3">
      <c r="A17" s="7" t="s">
        <v>13</v>
      </c>
      <c r="B17" s="5">
        <v>5</v>
      </c>
      <c r="F17"/>
    </row>
    <row r="18" spans="1:6" x14ac:dyDescent="0.3">
      <c r="A18" s="7" t="s">
        <v>69</v>
      </c>
      <c r="B18" s="6">
        <v>0.15</v>
      </c>
    </row>
    <row r="19" spans="1:6" x14ac:dyDescent="0.3">
      <c r="A19" s="7" t="s">
        <v>104</v>
      </c>
      <c r="B19" s="11">
        <v>25</v>
      </c>
      <c r="C19" s="4" t="s">
        <v>87</v>
      </c>
    </row>
    <row r="20" spans="1:6" x14ac:dyDescent="0.3">
      <c r="B20" s="6"/>
    </row>
    <row r="21" spans="1:6" x14ac:dyDescent="0.3">
      <c r="A21" s="4" t="s">
        <v>386</v>
      </c>
    </row>
    <row r="22" spans="1:6" x14ac:dyDescent="0.3">
      <c r="A22" s="14" t="s">
        <v>340</v>
      </c>
      <c r="B22" s="20">
        <f>(B16+B17)*B18</f>
        <v>2.5499999999999998</v>
      </c>
      <c r="C22" s="4" t="s">
        <v>80</v>
      </c>
    </row>
    <row r="24" spans="1:6" x14ac:dyDescent="0.3">
      <c r="A24" s="4" t="s">
        <v>400</v>
      </c>
      <c r="E24"/>
    </row>
    <row r="25" spans="1:6" x14ac:dyDescent="0.3">
      <c r="A25" s="7" t="s">
        <v>84</v>
      </c>
      <c r="B25" s="5">
        <v>12</v>
      </c>
      <c r="C25" s="4" t="s">
        <v>82</v>
      </c>
      <c r="F25"/>
    </row>
    <row r="26" spans="1:6" x14ac:dyDescent="0.3">
      <c r="A26" s="7" t="s">
        <v>85</v>
      </c>
      <c r="B26" s="5">
        <v>16</v>
      </c>
      <c r="C26" s="4" t="s">
        <v>83</v>
      </c>
      <c r="F26"/>
    </row>
    <row r="28" spans="1:6" x14ac:dyDescent="0.3">
      <c r="A28" s="4" t="s">
        <v>81</v>
      </c>
    </row>
    <row r="29" spans="1:6" x14ac:dyDescent="0.3">
      <c r="A29" s="14" t="s">
        <v>86</v>
      </c>
      <c r="B29" s="11">
        <f>B19+B22*(B25+B26)</f>
        <v>96.399999999999991</v>
      </c>
      <c r="C29" s="4" t="s">
        <v>88</v>
      </c>
    </row>
  </sheetData>
  <hyperlinks>
    <hyperlink ref="A2" r:id="rId1" xr:uid="{F9FE8F9A-9388-4E39-B119-F6FC6D3D17F7}"/>
  </hyperlinks>
  <pageMargins left="0.7" right="0.7" top="0.75" bottom="0.75" header="0.3" footer="0.3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4F19D-039C-4D5A-A35D-50426884EF8A}">
  <sheetPr codeName="Sheet13"/>
  <dimension ref="A1:F31"/>
  <sheetViews>
    <sheetView zoomScale="85" zoomScaleNormal="85" workbookViewId="0">
      <selection activeCell="J20" sqref="J20"/>
    </sheetView>
  </sheetViews>
  <sheetFormatPr defaultColWidth="8.77734375" defaultRowHeight="14.4" x14ac:dyDescent="0.3"/>
  <cols>
    <col min="1" max="1" width="11.44140625" style="1" customWidth="1"/>
    <col min="2" max="2" width="12" style="1" bestFit="1" customWidth="1"/>
    <col min="3" max="3" width="8.77734375" style="4"/>
    <col min="4" max="16384" width="8.77734375" style="1"/>
  </cols>
  <sheetData>
    <row r="1" spans="1:6" ht="18" x14ac:dyDescent="0.35">
      <c r="A1" s="2" t="s">
        <v>90</v>
      </c>
    </row>
    <row r="2" spans="1:6" x14ac:dyDescent="0.3">
      <c r="A2" s="3" t="s">
        <v>2</v>
      </c>
      <c r="D2" s="9"/>
      <c r="E2" s="4" t="s">
        <v>17</v>
      </c>
    </row>
    <row r="3" spans="1:6" x14ac:dyDescent="0.3">
      <c r="D3" s="15"/>
      <c r="E3" s="10" t="s">
        <v>18</v>
      </c>
    </row>
    <row r="4" spans="1:6" x14ac:dyDescent="0.3">
      <c r="D4" s="10"/>
      <c r="E4" s="10"/>
    </row>
    <row r="5" spans="1:6" x14ac:dyDescent="0.3">
      <c r="D5" s="10"/>
      <c r="E5" s="10"/>
    </row>
    <row r="6" spans="1:6" x14ac:dyDescent="0.3">
      <c r="D6" s="10"/>
      <c r="E6" s="10"/>
    </row>
    <row r="7" spans="1:6" x14ac:dyDescent="0.3">
      <c r="D7" s="10"/>
      <c r="E7" s="10"/>
    </row>
    <row r="8" spans="1:6" x14ac:dyDescent="0.3">
      <c r="D8" s="10"/>
      <c r="E8" s="10"/>
    </row>
    <row r="9" spans="1:6" x14ac:dyDescent="0.3">
      <c r="D9" s="10"/>
      <c r="E9" s="10"/>
    </row>
    <row r="10" spans="1:6" x14ac:dyDescent="0.3">
      <c r="D10" s="10"/>
      <c r="E10" s="10"/>
    </row>
    <row r="11" spans="1:6" x14ac:dyDescent="0.3">
      <c r="D11" s="10"/>
      <c r="E11" s="10"/>
    </row>
    <row r="12" spans="1:6" x14ac:dyDescent="0.3">
      <c r="D12" s="10"/>
      <c r="E12" s="10"/>
    </row>
    <row r="15" spans="1:6" x14ac:dyDescent="0.3">
      <c r="A15" s="4" t="s">
        <v>93</v>
      </c>
      <c r="E15"/>
    </row>
    <row r="16" spans="1:6" x14ac:dyDescent="0.3">
      <c r="A16" s="7" t="s">
        <v>91</v>
      </c>
      <c r="B16" s="5">
        <v>10</v>
      </c>
      <c r="F16"/>
    </row>
    <row r="17" spans="1:6" x14ac:dyDescent="0.3">
      <c r="A17" s="7" t="s">
        <v>0</v>
      </c>
      <c r="B17" s="1">
        <v>10000</v>
      </c>
    </row>
    <row r="18" spans="1:6" x14ac:dyDescent="0.3">
      <c r="A18" s="7" t="s">
        <v>92</v>
      </c>
      <c r="B18" s="5">
        <v>5</v>
      </c>
      <c r="F18"/>
    </row>
    <row r="19" spans="1:6" x14ac:dyDescent="0.3">
      <c r="A19" s="7" t="s">
        <v>1</v>
      </c>
      <c r="B19" s="1">
        <v>20000</v>
      </c>
    </row>
    <row r="20" spans="1:6" x14ac:dyDescent="0.3">
      <c r="A20" s="7" t="s">
        <v>5</v>
      </c>
      <c r="B20" s="1">
        <v>10000</v>
      </c>
    </row>
    <row r="22" spans="1:6" x14ac:dyDescent="0.3">
      <c r="A22" s="4" t="s">
        <v>95</v>
      </c>
    </row>
    <row r="23" spans="1:6" x14ac:dyDescent="0.3">
      <c r="A23" s="7" t="s">
        <v>94</v>
      </c>
      <c r="B23" s="5">
        <f>1/(1/B19+1/B20)</f>
        <v>6666.6666666666661</v>
      </c>
      <c r="C23" s="4" t="s">
        <v>97</v>
      </c>
    </row>
    <row r="24" spans="1:6" x14ac:dyDescent="0.3">
      <c r="A24" s="14" t="s">
        <v>101</v>
      </c>
      <c r="B24" s="6">
        <f>B16*B23/(B23+B17)</f>
        <v>4</v>
      </c>
      <c r="C24" s="4" t="s">
        <v>96</v>
      </c>
    </row>
    <row r="26" spans="1:6" x14ac:dyDescent="0.3">
      <c r="A26" s="4" t="s">
        <v>98</v>
      </c>
    </row>
    <row r="27" spans="1:6" x14ac:dyDescent="0.3">
      <c r="A27" s="7" t="s">
        <v>99</v>
      </c>
      <c r="B27" s="5">
        <f>1/(1/B17+1/B20)</f>
        <v>5000</v>
      </c>
      <c r="C27" s="4" t="s">
        <v>100</v>
      </c>
    </row>
    <row r="28" spans="1:6" x14ac:dyDescent="0.3">
      <c r="A28" s="14" t="s">
        <v>102</v>
      </c>
      <c r="B28" s="6">
        <f>B18*B27/(B27+B19)</f>
        <v>1</v>
      </c>
      <c r="C28" s="4" t="s">
        <v>96</v>
      </c>
    </row>
    <row r="30" spans="1:6" x14ac:dyDescent="0.3">
      <c r="A30" s="4" t="s">
        <v>372</v>
      </c>
    </row>
    <row r="31" spans="1:6" x14ac:dyDescent="0.3">
      <c r="A31" s="14" t="s">
        <v>13</v>
      </c>
      <c r="B31" s="6">
        <f>B24+B28</f>
        <v>5</v>
      </c>
      <c r="C31" s="4" t="s">
        <v>103</v>
      </c>
    </row>
  </sheetData>
  <hyperlinks>
    <hyperlink ref="A2" r:id="rId1" xr:uid="{765BA982-1AE3-4C0D-82F0-F5047CF704FD}"/>
  </hyperlinks>
  <pageMargins left="0.7" right="0.7" top="0.75" bottom="0.75" header="0.3" footer="0.3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4D08-EB03-4414-AB43-0E19EA43616E}">
  <sheetPr codeName="Sheet14"/>
  <dimension ref="A1:F60"/>
  <sheetViews>
    <sheetView zoomScale="85" zoomScaleNormal="85" workbookViewId="0">
      <selection activeCell="A19" sqref="A19"/>
    </sheetView>
  </sheetViews>
  <sheetFormatPr defaultColWidth="8.77734375" defaultRowHeight="14.4" x14ac:dyDescent="0.3"/>
  <cols>
    <col min="1" max="1" width="12.5546875" style="1" customWidth="1"/>
    <col min="2" max="2" width="10.77734375" style="1" customWidth="1"/>
    <col min="3" max="3" width="8.77734375" style="4"/>
    <col min="4" max="16384" width="8.77734375" style="1"/>
  </cols>
  <sheetData>
    <row r="1" spans="1:5" ht="18" x14ac:dyDescent="0.35">
      <c r="A1" s="2" t="s">
        <v>10</v>
      </c>
    </row>
    <row r="2" spans="1:5" x14ac:dyDescent="0.3">
      <c r="A2" s="3" t="s">
        <v>2</v>
      </c>
      <c r="D2" s="9"/>
      <c r="E2" s="4" t="s">
        <v>17</v>
      </c>
    </row>
    <row r="3" spans="1:5" x14ac:dyDescent="0.3">
      <c r="D3" s="15"/>
      <c r="E3" s="10" t="s">
        <v>18</v>
      </c>
    </row>
    <row r="4" spans="1:5" x14ac:dyDescent="0.3">
      <c r="D4" s="10"/>
      <c r="E4" s="10"/>
    </row>
    <row r="5" spans="1:5" x14ac:dyDescent="0.3">
      <c r="D5" s="10"/>
      <c r="E5" s="10"/>
    </row>
    <row r="6" spans="1:5" x14ac:dyDescent="0.3">
      <c r="D6" s="10"/>
      <c r="E6" s="10"/>
    </row>
    <row r="7" spans="1:5" x14ac:dyDescent="0.3">
      <c r="D7" s="10"/>
      <c r="E7" s="10"/>
    </row>
    <row r="8" spans="1:5" x14ac:dyDescent="0.3">
      <c r="D8" s="10"/>
      <c r="E8" s="10"/>
    </row>
    <row r="9" spans="1:5" x14ac:dyDescent="0.3">
      <c r="D9" s="10"/>
      <c r="E9" s="10"/>
    </row>
    <row r="10" spans="1:5" x14ac:dyDescent="0.3">
      <c r="D10" s="10"/>
      <c r="E10" s="10"/>
    </row>
    <row r="11" spans="1:5" x14ac:dyDescent="0.3">
      <c r="D11" s="10"/>
      <c r="E11" s="10"/>
    </row>
    <row r="12" spans="1:5" x14ac:dyDescent="0.3">
      <c r="D12" s="10"/>
      <c r="E12" s="10"/>
    </row>
    <row r="18" spans="1:6" x14ac:dyDescent="0.3">
      <c r="A18" s="4" t="s">
        <v>405</v>
      </c>
    </row>
    <row r="19" spans="1:6" x14ac:dyDescent="0.3">
      <c r="A19" s="7" t="s">
        <v>111</v>
      </c>
      <c r="B19" s="5">
        <v>10</v>
      </c>
    </row>
    <row r="21" spans="1:6" x14ac:dyDescent="0.3">
      <c r="A21" s="4" t="s">
        <v>106</v>
      </c>
      <c r="E21"/>
    </row>
    <row r="22" spans="1:6" x14ac:dyDescent="0.3">
      <c r="A22" s="7" t="s">
        <v>107</v>
      </c>
      <c r="B22" s="5">
        <v>0.5</v>
      </c>
      <c r="F22"/>
    </row>
    <row r="23" spans="1:6" x14ac:dyDescent="0.3">
      <c r="A23" s="7" t="s">
        <v>105</v>
      </c>
      <c r="B23" s="1">
        <v>1000</v>
      </c>
    </row>
    <row r="24" spans="1:6" x14ac:dyDescent="0.3">
      <c r="A24" s="4"/>
    </row>
    <row r="25" spans="1:6" x14ac:dyDescent="0.3">
      <c r="A25" s="4" t="s">
        <v>401</v>
      </c>
      <c r="E25"/>
    </row>
    <row r="26" spans="1:6" x14ac:dyDescent="0.3">
      <c r="A26" s="7" t="s">
        <v>0</v>
      </c>
      <c r="B26" s="1">
        <v>20000</v>
      </c>
      <c r="F26"/>
    </row>
    <row r="27" spans="1:6" x14ac:dyDescent="0.3">
      <c r="A27" s="7" t="s">
        <v>1</v>
      </c>
      <c r="B27" s="1">
        <v>10000</v>
      </c>
    </row>
    <row r="29" spans="1:6" x14ac:dyDescent="0.3">
      <c r="A29" s="4" t="s">
        <v>118</v>
      </c>
      <c r="E29"/>
    </row>
    <row r="30" spans="1:6" x14ac:dyDescent="0.3">
      <c r="A30" s="7" t="s">
        <v>119</v>
      </c>
      <c r="B30" s="1">
        <v>0.65</v>
      </c>
    </row>
    <row r="31" spans="1:6" x14ac:dyDescent="0.3">
      <c r="A31" s="7" t="s">
        <v>172</v>
      </c>
      <c r="B31" s="1">
        <v>150</v>
      </c>
      <c r="C31" s="4" t="s">
        <v>402</v>
      </c>
    </row>
    <row r="33" spans="1:6" x14ac:dyDescent="0.3">
      <c r="A33" s="4" t="s">
        <v>403</v>
      </c>
      <c r="E33"/>
    </row>
    <row r="34" spans="1:6" x14ac:dyDescent="0.3">
      <c r="A34" s="7" t="s">
        <v>109</v>
      </c>
      <c r="B34" s="1">
        <v>1000</v>
      </c>
      <c r="F34"/>
    </row>
    <row r="35" spans="1:6" x14ac:dyDescent="0.3">
      <c r="A35" s="7" t="s">
        <v>108</v>
      </c>
      <c r="B35" s="1">
        <v>200</v>
      </c>
    </row>
    <row r="36" spans="1:6" x14ac:dyDescent="0.3">
      <c r="A36" s="7" t="s">
        <v>110</v>
      </c>
      <c r="B36" s="1">
        <v>1000</v>
      </c>
    </row>
    <row r="37" spans="1:6" x14ac:dyDescent="0.3">
      <c r="A37" s="7" t="s">
        <v>122</v>
      </c>
      <c r="B37" s="1">
        <v>10000</v>
      </c>
    </row>
    <row r="39" spans="1:6" x14ac:dyDescent="0.3">
      <c r="A39" s="4" t="s">
        <v>373</v>
      </c>
    </row>
    <row r="40" spans="1:6" x14ac:dyDescent="0.3">
      <c r="A40" s="14" t="s">
        <v>112</v>
      </c>
      <c r="B40" s="20">
        <f>B19*B27:B27/(B26+B27)</f>
        <v>3.3333333333333335</v>
      </c>
      <c r="C40" s="4" t="s">
        <v>132</v>
      </c>
    </row>
    <row r="41" spans="1:6" x14ac:dyDescent="0.3">
      <c r="A41" s="14" t="s">
        <v>113</v>
      </c>
      <c r="B41" s="20">
        <f>B40-B30</f>
        <v>2.6833333333333336</v>
      </c>
      <c r="C41" s="4" t="s">
        <v>121</v>
      </c>
    </row>
    <row r="42" spans="1:6" x14ac:dyDescent="0.3">
      <c r="A42" s="14" t="s">
        <v>114</v>
      </c>
      <c r="B42" s="1">
        <f>B35+B36</f>
        <v>1200</v>
      </c>
      <c r="C42" s="4" t="s">
        <v>115</v>
      </c>
    </row>
    <row r="43" spans="1:6" x14ac:dyDescent="0.3">
      <c r="A43" s="14" t="s">
        <v>116</v>
      </c>
      <c r="B43" s="21">
        <f>B41/B42</f>
        <v>2.2361111111111115E-3</v>
      </c>
      <c r="C43" s="4" t="s">
        <v>117</v>
      </c>
    </row>
    <row r="44" spans="1:6" x14ac:dyDescent="0.3">
      <c r="A44" s="14" t="s">
        <v>120</v>
      </c>
      <c r="B44" s="20">
        <f>B19-B43*B34</f>
        <v>7.7638888888888884</v>
      </c>
      <c r="C44" s="4" t="s">
        <v>133</v>
      </c>
    </row>
    <row r="46" spans="1:6" x14ac:dyDescent="0.3">
      <c r="A46" s="4" t="s">
        <v>374</v>
      </c>
    </row>
    <row r="47" spans="1:6" x14ac:dyDescent="0.3">
      <c r="A47" s="4" t="s">
        <v>404</v>
      </c>
    </row>
    <row r="48" spans="1:6" x14ac:dyDescent="0.3">
      <c r="A48" s="14" t="s">
        <v>173</v>
      </c>
      <c r="B48" s="1">
        <f>B35*B31</f>
        <v>30000</v>
      </c>
      <c r="C48" s="1" t="s">
        <v>175</v>
      </c>
    </row>
    <row r="49" spans="1:3" x14ac:dyDescent="0.3">
      <c r="A49" s="14" t="s">
        <v>176</v>
      </c>
      <c r="B49" s="11">
        <f>1/(1/B26+1/B27+1/B48)</f>
        <v>5454.545454545454</v>
      </c>
      <c r="C49" s="4" t="s">
        <v>174</v>
      </c>
    </row>
    <row r="50" spans="1:3" x14ac:dyDescent="0.3">
      <c r="A50" s="14" t="s">
        <v>125</v>
      </c>
      <c r="B50" s="20">
        <f>B49/(B23+B49)</f>
        <v>0.84507042253521125</v>
      </c>
      <c r="C50" s="4" t="s">
        <v>124</v>
      </c>
    </row>
    <row r="52" spans="1:3" x14ac:dyDescent="0.3">
      <c r="A52" s="4" t="s">
        <v>375</v>
      </c>
    </row>
    <row r="53" spans="1:3" x14ac:dyDescent="0.3">
      <c r="A53" s="14" t="s">
        <v>127</v>
      </c>
      <c r="B53" s="11">
        <f>1/(1/B37+1/B34)</f>
        <v>909.09090909090901</v>
      </c>
      <c r="C53" s="4" t="s">
        <v>123</v>
      </c>
    </row>
    <row r="54" spans="1:3" x14ac:dyDescent="0.3">
      <c r="A54" s="14" t="s">
        <v>126</v>
      </c>
      <c r="B54" s="20">
        <f>B53/B35</f>
        <v>4.545454545454545</v>
      </c>
      <c r="C54" s="4" t="s">
        <v>128</v>
      </c>
    </row>
    <row r="55" spans="1:3" x14ac:dyDescent="0.3">
      <c r="B55" s="20"/>
    </row>
    <row r="56" spans="1:3" x14ac:dyDescent="0.3">
      <c r="A56" s="4" t="s">
        <v>376</v>
      </c>
    </row>
    <row r="57" spans="1:3" x14ac:dyDescent="0.3">
      <c r="A57" s="14" t="s">
        <v>129</v>
      </c>
      <c r="B57" s="20">
        <f>B50*B54</f>
        <v>3.841229193341869</v>
      </c>
      <c r="C57" s="4" t="s">
        <v>130</v>
      </c>
    </row>
    <row r="58" spans="1:3" x14ac:dyDescent="0.3">
      <c r="B58" s="20"/>
    </row>
    <row r="59" spans="1:3" x14ac:dyDescent="0.3">
      <c r="A59" s="4" t="s">
        <v>377</v>
      </c>
    </row>
    <row r="60" spans="1:3" x14ac:dyDescent="0.3">
      <c r="A60" s="14" t="s">
        <v>13</v>
      </c>
      <c r="B60" s="20">
        <f>B22*B57</f>
        <v>1.9206145966709345</v>
      </c>
      <c r="C60" s="4" t="s">
        <v>131</v>
      </c>
    </row>
  </sheetData>
  <hyperlinks>
    <hyperlink ref="A2" r:id="rId1" xr:uid="{1F9172CA-57A4-459D-8C60-83CC04BA743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E34"/>
  <sheetViews>
    <sheetView zoomScale="85" zoomScaleNormal="85" workbookViewId="0">
      <selection activeCell="K28" sqref="K28"/>
    </sheetView>
  </sheetViews>
  <sheetFormatPr defaultColWidth="8.77734375" defaultRowHeight="14.4" x14ac:dyDescent="0.3"/>
  <cols>
    <col min="1" max="1" width="11.21875" style="1" customWidth="1"/>
    <col min="2" max="2" width="14.6640625" style="1" customWidth="1"/>
    <col min="3" max="3" width="8.77734375" style="4"/>
    <col min="4" max="16384" width="8.77734375" style="1"/>
  </cols>
  <sheetData>
    <row r="1" spans="1:5" ht="18" x14ac:dyDescent="0.35">
      <c r="A1" s="2" t="s">
        <v>9</v>
      </c>
    </row>
    <row r="2" spans="1:5" x14ac:dyDescent="0.3">
      <c r="A2" s="3" t="s">
        <v>2</v>
      </c>
      <c r="D2" s="9"/>
      <c r="E2" s="4" t="s">
        <v>17</v>
      </c>
    </row>
    <row r="3" spans="1:5" x14ac:dyDescent="0.3">
      <c r="D3" s="15"/>
      <c r="E3" s="10" t="s">
        <v>18</v>
      </c>
    </row>
    <row r="13" spans="1:5" x14ac:dyDescent="0.3">
      <c r="A13" s="4" t="s">
        <v>7</v>
      </c>
      <c r="E13"/>
    </row>
    <row r="14" spans="1:5" x14ac:dyDescent="0.3">
      <c r="A14" s="7" t="s">
        <v>0</v>
      </c>
      <c r="B14" s="1">
        <v>10000</v>
      </c>
    </row>
    <row r="15" spans="1:5" x14ac:dyDescent="0.3">
      <c r="A15" s="7" t="s">
        <v>1</v>
      </c>
      <c r="B15" s="1">
        <v>20000</v>
      </c>
    </row>
    <row r="16" spans="1:5" x14ac:dyDescent="0.3">
      <c r="A16" s="14" t="s">
        <v>19</v>
      </c>
      <c r="B16" s="20">
        <f>1/(1/B14+1/B15)</f>
        <v>6666.6666666666661</v>
      </c>
      <c r="C16" s="4" t="s">
        <v>4</v>
      </c>
    </row>
    <row r="18" spans="1:3" x14ac:dyDescent="0.3">
      <c r="A18" s="4" t="s">
        <v>349</v>
      </c>
    </row>
    <row r="19" spans="1:3" x14ac:dyDescent="0.3">
      <c r="A19" s="7" t="s">
        <v>0</v>
      </c>
      <c r="B19" s="1">
        <v>10000</v>
      </c>
    </row>
    <row r="20" spans="1:3" x14ac:dyDescent="0.3">
      <c r="A20" s="7" t="s">
        <v>19</v>
      </c>
      <c r="B20" s="1">
        <v>6666.67</v>
      </c>
    </row>
    <row r="21" spans="1:3" x14ac:dyDescent="0.3">
      <c r="A21" s="14" t="s">
        <v>1</v>
      </c>
      <c r="B21" s="1">
        <f>1/(1/B20-1/B19)</f>
        <v>20000.030000030001</v>
      </c>
      <c r="C21" s="4" t="s">
        <v>21</v>
      </c>
    </row>
    <row r="24" spans="1:3" x14ac:dyDescent="0.3">
      <c r="A24" s="4" t="s">
        <v>8</v>
      </c>
    </row>
    <row r="25" spans="1:3" x14ac:dyDescent="0.3">
      <c r="A25" s="7" t="s">
        <v>0</v>
      </c>
      <c r="B25" s="1">
        <v>10000</v>
      </c>
    </row>
    <row r="26" spans="1:3" x14ac:dyDescent="0.3">
      <c r="A26" s="7" t="s">
        <v>1</v>
      </c>
      <c r="B26" s="1">
        <v>10000</v>
      </c>
    </row>
    <row r="27" spans="1:3" x14ac:dyDescent="0.3">
      <c r="A27" s="7" t="s">
        <v>5</v>
      </c>
      <c r="B27" s="1">
        <v>10000</v>
      </c>
    </row>
    <row r="28" spans="1:3" x14ac:dyDescent="0.3">
      <c r="A28" s="14" t="s">
        <v>19</v>
      </c>
      <c r="B28" s="20">
        <f>1/(1/B25+1/B26+1/B27)</f>
        <v>3333.333333333333</v>
      </c>
      <c r="C28" s="4" t="s">
        <v>6</v>
      </c>
    </row>
    <row r="30" spans="1:3" x14ac:dyDescent="0.3">
      <c r="A30" s="4" t="s">
        <v>350</v>
      </c>
    </row>
    <row r="31" spans="1:3" x14ac:dyDescent="0.3">
      <c r="A31" s="7" t="s">
        <v>0</v>
      </c>
      <c r="B31" s="1">
        <v>10000</v>
      </c>
    </row>
    <row r="32" spans="1:3" x14ac:dyDescent="0.3">
      <c r="A32" s="7" t="s">
        <v>1</v>
      </c>
      <c r="B32" s="1">
        <v>10000</v>
      </c>
    </row>
    <row r="33" spans="1:3" x14ac:dyDescent="0.3">
      <c r="A33" s="7" t="s">
        <v>19</v>
      </c>
      <c r="B33" s="1">
        <v>3333.33</v>
      </c>
    </row>
    <row r="34" spans="1:3" x14ac:dyDescent="0.3">
      <c r="A34" s="14" t="s">
        <v>1</v>
      </c>
      <c r="B34" s="20">
        <f>1/(1/B33-1/B31-1/B32)</f>
        <v>9999.9700000599969</v>
      </c>
      <c r="C34" s="4" t="s">
        <v>20</v>
      </c>
    </row>
  </sheetData>
  <hyperlinks>
    <hyperlink ref="A2" r:id="rId1" xr:uid="{B6C8E215-2E55-402D-9D3A-2397E29A8BE0}"/>
  </hyperlinks>
  <pageMargins left="0.7" right="0.7" top="0.75" bottom="0.75" header="0.3" footer="0.3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2AB4E-4C8B-4A56-A61B-58CACB930350}">
  <sheetPr codeName="Sheet15"/>
  <dimension ref="A1:F38"/>
  <sheetViews>
    <sheetView zoomScale="85" zoomScaleNormal="85" workbookViewId="0">
      <selection activeCell="J26" sqref="J26"/>
    </sheetView>
  </sheetViews>
  <sheetFormatPr defaultColWidth="8.77734375" defaultRowHeight="14.4" x14ac:dyDescent="0.3"/>
  <cols>
    <col min="1" max="1" width="12.21875" style="1" customWidth="1"/>
    <col min="2" max="2" width="12.77734375" style="1" customWidth="1"/>
    <col min="3" max="3" width="8.77734375" style="4"/>
    <col min="4" max="16384" width="8.77734375" style="1"/>
  </cols>
  <sheetData>
    <row r="1" spans="1:5" ht="18" x14ac:dyDescent="0.35">
      <c r="A1" s="2" t="s">
        <v>341</v>
      </c>
    </row>
    <row r="2" spans="1:5" x14ac:dyDescent="0.3">
      <c r="A2" s="3" t="s">
        <v>2</v>
      </c>
      <c r="D2" s="9"/>
      <c r="E2" s="4" t="s">
        <v>17</v>
      </c>
    </row>
    <row r="3" spans="1:5" x14ac:dyDescent="0.3">
      <c r="D3" s="15"/>
      <c r="E3" s="10" t="s">
        <v>18</v>
      </c>
    </row>
    <row r="4" spans="1:5" x14ac:dyDescent="0.3">
      <c r="D4" s="10"/>
      <c r="E4" s="10"/>
    </row>
    <row r="5" spans="1:5" x14ac:dyDescent="0.3">
      <c r="D5" s="10"/>
      <c r="E5" s="10"/>
    </row>
    <row r="6" spans="1:5" x14ac:dyDescent="0.3">
      <c r="D6" s="10"/>
      <c r="E6" s="10"/>
    </row>
    <row r="7" spans="1:5" x14ac:dyDescent="0.3">
      <c r="D7" s="10"/>
      <c r="E7" s="10"/>
    </row>
    <row r="8" spans="1:5" x14ac:dyDescent="0.3">
      <c r="B8"/>
      <c r="D8" s="10"/>
      <c r="E8" s="10"/>
    </row>
    <row r="9" spans="1:5" x14ac:dyDescent="0.3">
      <c r="D9" s="10"/>
      <c r="E9" s="10"/>
    </row>
    <row r="10" spans="1:5" x14ac:dyDescent="0.3">
      <c r="D10" s="10"/>
      <c r="E10" s="10"/>
    </row>
    <row r="11" spans="1:5" x14ac:dyDescent="0.3">
      <c r="D11" s="10"/>
      <c r="E11" s="10"/>
    </row>
    <row r="12" spans="1:5" x14ac:dyDescent="0.3">
      <c r="D12" s="10"/>
      <c r="E12" s="10"/>
    </row>
    <row r="18" spans="1:6" x14ac:dyDescent="0.3">
      <c r="A18" s="4" t="s">
        <v>379</v>
      </c>
      <c r="E18"/>
    </row>
    <row r="19" spans="1:6" x14ac:dyDescent="0.3">
      <c r="A19" s="7" t="s">
        <v>12</v>
      </c>
      <c r="B19" s="6">
        <v>1</v>
      </c>
      <c r="C19" s="4" t="s">
        <v>146</v>
      </c>
      <c r="F19"/>
    </row>
    <row r="20" spans="1:6" x14ac:dyDescent="0.3">
      <c r="A20" s="7" t="s">
        <v>134</v>
      </c>
      <c r="B20" s="1">
        <v>10000</v>
      </c>
      <c r="C20" s="4" t="s">
        <v>145</v>
      </c>
      <c r="E20" s="36" t="s">
        <v>342</v>
      </c>
      <c r="F20"/>
    </row>
    <row r="21" spans="1:6" x14ac:dyDescent="0.3">
      <c r="A21" s="7" t="s">
        <v>135</v>
      </c>
      <c r="B21" s="1">
        <v>0.5</v>
      </c>
      <c r="C21" s="4" t="s">
        <v>149</v>
      </c>
    </row>
    <row r="22" spans="1:6" x14ac:dyDescent="0.3">
      <c r="A22" s="4"/>
      <c r="E22"/>
    </row>
    <row r="23" spans="1:6" x14ac:dyDescent="0.3">
      <c r="A23" s="4" t="s">
        <v>378</v>
      </c>
    </row>
    <row r="24" spans="1:6" x14ac:dyDescent="0.3">
      <c r="A24" s="14" t="s">
        <v>136</v>
      </c>
      <c r="B24" s="12">
        <f>B20/(1+B20*B21)</f>
        <v>1.9996000799840032</v>
      </c>
      <c r="C24" s="4" t="s">
        <v>137</v>
      </c>
      <c r="D24" s="4" t="s">
        <v>150</v>
      </c>
    </row>
    <row r="25" spans="1:6" x14ac:dyDescent="0.3">
      <c r="A25" s="14" t="s">
        <v>138</v>
      </c>
      <c r="B25" s="12">
        <f>1/B21</f>
        <v>2</v>
      </c>
      <c r="C25" s="4" t="s">
        <v>139</v>
      </c>
      <c r="D25" s="4" t="s">
        <v>151</v>
      </c>
    </row>
    <row r="26" spans="1:6" x14ac:dyDescent="0.3">
      <c r="A26" s="4"/>
      <c r="E26"/>
    </row>
    <row r="27" spans="1:6" x14ac:dyDescent="0.3">
      <c r="A27" s="4" t="s">
        <v>380</v>
      </c>
      <c r="E27"/>
    </row>
    <row r="28" spans="1:6" x14ac:dyDescent="0.3">
      <c r="A28" s="14" t="s">
        <v>140</v>
      </c>
      <c r="B28" s="12">
        <f>B19*B24</f>
        <v>1.9996000799840032</v>
      </c>
      <c r="C28" s="4" t="s">
        <v>141</v>
      </c>
      <c r="F28"/>
    </row>
    <row r="29" spans="1:6" x14ac:dyDescent="0.3">
      <c r="A29" s="14" t="s">
        <v>143</v>
      </c>
      <c r="B29" s="12">
        <f>B19*B25</f>
        <v>2</v>
      </c>
      <c r="C29" s="4" t="s">
        <v>142</v>
      </c>
      <c r="F29"/>
    </row>
    <row r="31" spans="1:6" x14ac:dyDescent="0.3">
      <c r="A31" s="4" t="s">
        <v>144</v>
      </c>
    </row>
    <row r="32" spans="1:6" x14ac:dyDescent="0.3">
      <c r="A32" s="14" t="s">
        <v>407</v>
      </c>
      <c r="B32" s="20">
        <f>(B29-B28)/B29*100</f>
        <v>1.9996000799837876E-2</v>
      </c>
      <c r="C32" s="4" t="s">
        <v>406</v>
      </c>
    </row>
    <row r="35" spans="1:3" x14ac:dyDescent="0.3">
      <c r="A35" s="4" t="s">
        <v>381</v>
      </c>
    </row>
    <row r="36" spans="1:3" x14ac:dyDescent="0.3">
      <c r="A36" s="7" t="s">
        <v>147</v>
      </c>
      <c r="B36" s="6">
        <v>5</v>
      </c>
      <c r="C36" s="4" t="s">
        <v>146</v>
      </c>
    </row>
    <row r="38" spans="1:3" x14ac:dyDescent="0.3">
      <c r="A38" s="14" t="s">
        <v>135</v>
      </c>
      <c r="B38" s="6">
        <f>1/B36</f>
        <v>0.2</v>
      </c>
      <c r="C38" s="4" t="s">
        <v>148</v>
      </c>
    </row>
  </sheetData>
  <hyperlinks>
    <hyperlink ref="A2" r:id="rId1" xr:uid="{4FA1C692-E1AF-48D8-88E9-350D2DEDF3B0}"/>
  </hyperlinks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74A4D-E7F3-4F7F-B6E1-B20F3D351E4C}">
  <sheetPr codeName="Sheet16"/>
  <dimension ref="A1:H40"/>
  <sheetViews>
    <sheetView zoomScale="85" zoomScaleNormal="85" workbookViewId="0">
      <selection activeCell="I24" sqref="I24"/>
    </sheetView>
  </sheetViews>
  <sheetFormatPr defaultColWidth="8.77734375" defaultRowHeight="14.4" x14ac:dyDescent="0.3"/>
  <cols>
    <col min="1" max="1" width="20.33203125" style="1" customWidth="1"/>
    <col min="2" max="2" width="14" style="1" customWidth="1"/>
    <col min="3" max="3" width="8.77734375" style="4"/>
    <col min="4" max="16384" width="8.77734375" style="1"/>
  </cols>
  <sheetData>
    <row r="1" spans="1:5" ht="18" x14ac:dyDescent="0.35">
      <c r="A1" s="2" t="s">
        <v>177</v>
      </c>
    </row>
    <row r="2" spans="1:5" x14ac:dyDescent="0.3">
      <c r="A2" s="3" t="s">
        <v>2</v>
      </c>
      <c r="D2" s="9"/>
      <c r="E2" s="4" t="s">
        <v>17</v>
      </c>
    </row>
    <row r="3" spans="1:5" x14ac:dyDescent="0.3">
      <c r="D3" s="15"/>
      <c r="E3" s="10" t="s">
        <v>18</v>
      </c>
    </row>
    <row r="4" spans="1:5" x14ac:dyDescent="0.3">
      <c r="D4" s="10"/>
      <c r="E4" s="10"/>
    </row>
    <row r="5" spans="1:5" x14ac:dyDescent="0.3">
      <c r="D5" s="10"/>
      <c r="E5" s="10"/>
    </row>
    <row r="6" spans="1:5" x14ac:dyDescent="0.3">
      <c r="D6" s="10"/>
      <c r="E6" s="10"/>
    </row>
    <row r="7" spans="1:5" x14ac:dyDescent="0.3">
      <c r="D7" s="10"/>
      <c r="E7" s="10"/>
    </row>
    <row r="8" spans="1:5" x14ac:dyDescent="0.3">
      <c r="D8" s="10"/>
      <c r="E8" s="10"/>
    </row>
    <row r="9" spans="1:5" x14ac:dyDescent="0.3">
      <c r="D9" s="10"/>
      <c r="E9" s="10"/>
    </row>
    <row r="10" spans="1:5" x14ac:dyDescent="0.3">
      <c r="D10" s="10"/>
      <c r="E10" s="10"/>
    </row>
    <row r="11" spans="1:5" x14ac:dyDescent="0.3">
      <c r="D11" s="10"/>
      <c r="E11" s="10"/>
    </row>
    <row r="12" spans="1:5" x14ac:dyDescent="0.3">
      <c r="D12" s="10"/>
      <c r="E12" s="10"/>
    </row>
    <row r="13" spans="1:5" x14ac:dyDescent="0.3">
      <c r="D13" s="10"/>
      <c r="E13" s="10"/>
    </row>
    <row r="14" spans="1:5" x14ac:dyDescent="0.3">
      <c r="D14" s="10"/>
      <c r="E14" s="10"/>
    </row>
    <row r="15" spans="1:5" x14ac:dyDescent="0.3">
      <c r="D15" s="10"/>
      <c r="E15" s="10"/>
    </row>
    <row r="16" spans="1:5" x14ac:dyDescent="0.3">
      <c r="A16" s="27" t="s">
        <v>180</v>
      </c>
      <c r="B16" s="28"/>
      <c r="C16" s="27"/>
      <c r="D16" s="27"/>
      <c r="E16" s="10"/>
    </row>
    <row r="17" spans="1:8" x14ac:dyDescent="0.3">
      <c r="A17" s="29" t="s">
        <v>201</v>
      </c>
      <c r="B17" s="13">
        <v>6E-9</v>
      </c>
      <c r="C17" s="4" t="s">
        <v>202</v>
      </c>
      <c r="D17"/>
      <c r="E17" s="10"/>
    </row>
    <row r="18" spans="1:8" x14ac:dyDescent="0.3">
      <c r="A18"/>
      <c r="B18" s="28"/>
      <c r="C18" s="27"/>
      <c r="D18"/>
      <c r="E18" s="10"/>
    </row>
    <row r="19" spans="1:8" x14ac:dyDescent="0.3">
      <c r="A19" s="27" t="s">
        <v>181</v>
      </c>
      <c r="B19" s="28"/>
      <c r="C19" s="27"/>
      <c r="D19" s="27"/>
      <c r="E19" s="10"/>
    </row>
    <row r="20" spans="1:8" x14ac:dyDescent="0.3">
      <c r="A20" s="38" t="s">
        <v>105</v>
      </c>
      <c r="B20" s="1">
        <v>1000</v>
      </c>
      <c r="C20" s="4" t="s">
        <v>187</v>
      </c>
      <c r="D20"/>
      <c r="E20" s="10"/>
    </row>
    <row r="21" spans="1:8" x14ac:dyDescent="0.3">
      <c r="A21" s="38" t="s">
        <v>184</v>
      </c>
      <c r="B21" s="30">
        <v>1.3806490000000001E-23</v>
      </c>
      <c r="C21" s="4" t="s">
        <v>185</v>
      </c>
      <c r="D21"/>
      <c r="E21" s="10"/>
    </row>
    <row r="22" spans="1:8" x14ac:dyDescent="0.3">
      <c r="A22" s="38" t="s">
        <v>188</v>
      </c>
      <c r="B22" s="1">
        <v>25</v>
      </c>
      <c r="C22" s="4" t="s">
        <v>182</v>
      </c>
      <c r="D22"/>
      <c r="E22" s="10"/>
    </row>
    <row r="23" spans="1:8" x14ac:dyDescent="0.3">
      <c r="A23" s="14" t="s">
        <v>189</v>
      </c>
      <c r="B23" s="1">
        <f>273.15+B22</f>
        <v>298.14999999999998</v>
      </c>
      <c r="C23" s="4" t="s">
        <v>186</v>
      </c>
      <c r="E23" s="25"/>
      <c r="F23" s="25"/>
      <c r="G23" s="26"/>
      <c r="H23" s="10"/>
    </row>
    <row r="24" spans="1:8" x14ac:dyDescent="0.3">
      <c r="A24" s="12"/>
      <c r="E24" s="25"/>
      <c r="F24" s="25"/>
      <c r="G24" s="26"/>
      <c r="H24" s="10"/>
    </row>
    <row r="25" spans="1:8" x14ac:dyDescent="0.3">
      <c r="A25" s="14" t="s">
        <v>204</v>
      </c>
      <c r="B25" s="30">
        <f>SQRT(4*B21*B23*B20)</f>
        <v>4.0577851069271769E-9</v>
      </c>
      <c r="C25" s="4" t="s">
        <v>195</v>
      </c>
      <c r="E25" s="25"/>
      <c r="F25" s="25"/>
      <c r="G25" s="26"/>
      <c r="H25" s="10"/>
    </row>
    <row r="26" spans="1:8" x14ac:dyDescent="0.3">
      <c r="A26" s="12"/>
      <c r="B26" s="12"/>
      <c r="E26" s="25"/>
      <c r="F26" s="25"/>
      <c r="G26" s="26"/>
      <c r="H26" s="10"/>
    </row>
    <row r="27" spans="1:8" x14ac:dyDescent="0.3">
      <c r="A27" s="12"/>
      <c r="B27" s="12"/>
      <c r="E27" s="25"/>
      <c r="F27" s="25"/>
      <c r="G27" s="26"/>
      <c r="H27" s="10"/>
    </row>
    <row r="28" spans="1:8" x14ac:dyDescent="0.3">
      <c r="A28" s="27" t="s">
        <v>178</v>
      </c>
      <c r="B28" s="31"/>
      <c r="C28" s="27"/>
      <c r="D28"/>
      <c r="E28" s="10"/>
    </row>
    <row r="29" spans="1:8" x14ac:dyDescent="0.3">
      <c r="A29" s="38" t="s">
        <v>183</v>
      </c>
      <c r="B29" s="32">
        <v>10</v>
      </c>
      <c r="C29" s="27"/>
      <c r="D29"/>
      <c r="E29" s="10"/>
    </row>
    <row r="30" spans="1:8" x14ac:dyDescent="0.3">
      <c r="A30"/>
      <c r="B30" s="31"/>
      <c r="C30" s="27"/>
      <c r="D30" s="27"/>
      <c r="E30" s="10"/>
    </row>
    <row r="31" spans="1:8" x14ac:dyDescent="0.3">
      <c r="A31" s="27" t="s">
        <v>179</v>
      </c>
      <c r="B31" s="28"/>
      <c r="C31" s="27"/>
      <c r="D31"/>
      <c r="E31" s="10"/>
    </row>
    <row r="32" spans="1:8" x14ac:dyDescent="0.3">
      <c r="A32" s="38" t="s">
        <v>192</v>
      </c>
      <c r="B32" s="31">
        <v>100000</v>
      </c>
      <c r="C32" s="27"/>
      <c r="D32" s="27"/>
    </row>
    <row r="33" spans="1:5" x14ac:dyDescent="0.3">
      <c r="A33" s="38" t="s">
        <v>193</v>
      </c>
      <c r="B33" s="33">
        <v>1.5</v>
      </c>
      <c r="C33" s="27" t="s">
        <v>203</v>
      </c>
      <c r="D33"/>
    </row>
    <row r="34" spans="1:5" x14ac:dyDescent="0.3">
      <c r="A34" s="4"/>
      <c r="D34" s="4"/>
      <c r="E34"/>
    </row>
    <row r="35" spans="1:5" x14ac:dyDescent="0.3">
      <c r="A35" s="4" t="s">
        <v>190</v>
      </c>
    </row>
    <row r="36" spans="1:5" x14ac:dyDescent="0.3">
      <c r="A36" s="14" t="s">
        <v>198</v>
      </c>
      <c r="B36" s="12">
        <f>B17*B29*SQRT(B32*B33)</f>
        <v>2.3237900077244499E-5</v>
      </c>
      <c r="C36" s="4" t="s">
        <v>191</v>
      </c>
      <c r="D36" s="4"/>
    </row>
    <row r="37" spans="1:5" x14ac:dyDescent="0.3">
      <c r="A37" s="14" t="s">
        <v>199</v>
      </c>
      <c r="B37" s="12">
        <f>B25*B29*SQRT(B32*B33)</f>
        <v>1.5715734141617436E-5</v>
      </c>
      <c r="C37" s="4" t="s">
        <v>194</v>
      </c>
      <c r="D37" s="4"/>
    </row>
    <row r="38" spans="1:5" x14ac:dyDescent="0.3">
      <c r="B38" s="12"/>
    </row>
    <row r="39" spans="1:5" x14ac:dyDescent="0.3">
      <c r="A39" s="4" t="s">
        <v>196</v>
      </c>
      <c r="B39" s="12"/>
    </row>
    <row r="40" spans="1:5" x14ac:dyDescent="0.3">
      <c r="A40" s="14" t="s">
        <v>200</v>
      </c>
      <c r="B40" s="12">
        <f>SQRT(B36^2+B37^2)</f>
        <v>2.8053240447584658E-5</v>
      </c>
      <c r="C40" s="4" t="s">
        <v>197</v>
      </c>
    </row>
  </sheetData>
  <hyperlinks>
    <hyperlink ref="A2" r:id="rId1" xr:uid="{D7D9F806-7FE0-42BA-8BA2-6E7C2D498DE8}"/>
  </hyperlinks>
  <pageMargins left="0.7" right="0.7" top="0.75" bottom="0.75" header="0.3" footer="0.3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36582-1559-49B2-8255-8D17CE0BF68F}">
  <sheetPr codeName="Sheet17"/>
  <dimension ref="A1:F44"/>
  <sheetViews>
    <sheetView zoomScale="85" zoomScaleNormal="85" workbookViewId="0">
      <selection activeCell="C43" sqref="C43"/>
    </sheetView>
  </sheetViews>
  <sheetFormatPr defaultColWidth="8.77734375" defaultRowHeight="14.4" x14ac:dyDescent="0.3"/>
  <cols>
    <col min="1" max="2" width="8.77734375" style="1"/>
    <col min="3" max="3" width="8.77734375" style="4"/>
    <col min="4" max="16384" width="8.77734375" style="1"/>
  </cols>
  <sheetData>
    <row r="1" spans="1:6" ht="18" x14ac:dyDescent="0.35">
      <c r="A1" s="2" t="s">
        <v>217</v>
      </c>
    </row>
    <row r="2" spans="1:6" x14ac:dyDescent="0.3">
      <c r="A2" s="3" t="s">
        <v>2</v>
      </c>
      <c r="D2" s="9"/>
      <c r="E2" s="4" t="s">
        <v>17</v>
      </c>
    </row>
    <row r="3" spans="1:6" x14ac:dyDescent="0.3">
      <c r="D3" s="15"/>
      <c r="E3" s="10" t="s">
        <v>18</v>
      </c>
    </row>
    <row r="4" spans="1:6" x14ac:dyDescent="0.3">
      <c r="D4" s="10"/>
      <c r="E4" s="10"/>
    </row>
    <row r="5" spans="1:6" x14ac:dyDescent="0.3">
      <c r="D5" s="10"/>
      <c r="E5" s="10"/>
    </row>
    <row r="6" spans="1:6" x14ac:dyDescent="0.3">
      <c r="D6" s="10"/>
      <c r="E6" s="10"/>
    </row>
    <row r="7" spans="1:6" x14ac:dyDescent="0.3">
      <c r="D7" s="10"/>
      <c r="E7" s="10"/>
    </row>
    <row r="8" spans="1:6" x14ac:dyDescent="0.3">
      <c r="D8" s="10"/>
      <c r="E8" s="10"/>
    </row>
    <row r="9" spans="1:6" x14ac:dyDescent="0.3">
      <c r="D9" s="10"/>
      <c r="E9" s="10"/>
    </row>
    <row r="10" spans="1:6" x14ac:dyDescent="0.3">
      <c r="D10" s="10"/>
      <c r="E10" s="10"/>
    </row>
    <row r="11" spans="1:6" x14ac:dyDescent="0.3">
      <c r="D11" s="10"/>
      <c r="E11" s="10"/>
    </row>
    <row r="12" spans="1:6" x14ac:dyDescent="0.3">
      <c r="D12" s="10"/>
      <c r="E12" s="10"/>
    </row>
    <row r="14" spans="1:6" x14ac:dyDescent="0.3">
      <c r="A14" s="4" t="s">
        <v>205</v>
      </c>
      <c r="E14"/>
    </row>
    <row r="15" spans="1:6" x14ac:dyDescent="0.3">
      <c r="A15" s="7" t="s">
        <v>206</v>
      </c>
      <c r="B15" s="1">
        <v>100</v>
      </c>
      <c r="C15" s="4" t="s">
        <v>408</v>
      </c>
      <c r="F15"/>
    </row>
    <row r="16" spans="1:6" x14ac:dyDescent="0.3">
      <c r="A16" s="7" t="s">
        <v>207</v>
      </c>
      <c r="B16" s="1">
        <v>400</v>
      </c>
      <c r="C16" s="4" t="s">
        <v>409</v>
      </c>
    </row>
    <row r="18" spans="1:3" x14ac:dyDescent="0.3">
      <c r="A18" s="4" t="s">
        <v>210</v>
      </c>
    </row>
    <row r="19" spans="1:3" x14ac:dyDescent="0.3">
      <c r="A19" s="7" t="s">
        <v>107</v>
      </c>
      <c r="B19" s="5">
        <v>1</v>
      </c>
      <c r="C19" s="4" t="s">
        <v>208</v>
      </c>
    </row>
    <row r="20" spans="1:3" x14ac:dyDescent="0.3">
      <c r="A20" s="7" t="s">
        <v>105</v>
      </c>
      <c r="B20" s="1">
        <v>50</v>
      </c>
      <c r="C20" s="4" t="s">
        <v>209</v>
      </c>
    </row>
    <row r="21" spans="1:3" x14ac:dyDescent="0.3">
      <c r="A21" s="7" t="s">
        <v>122</v>
      </c>
      <c r="B21" s="1">
        <v>1000</v>
      </c>
      <c r="C21" s="4" t="s">
        <v>211</v>
      </c>
    </row>
    <row r="23" spans="1:3" x14ac:dyDescent="0.3">
      <c r="A23" s="4" t="s">
        <v>382</v>
      </c>
    </row>
    <row r="24" spans="1:3" x14ac:dyDescent="0.3">
      <c r="A24" s="14" t="s">
        <v>212</v>
      </c>
      <c r="B24" s="6">
        <f>B15/B16</f>
        <v>0.25</v>
      </c>
      <c r="C24" s="4" t="s">
        <v>213</v>
      </c>
    </row>
    <row r="25" spans="1:3" x14ac:dyDescent="0.3">
      <c r="A25" s="14" t="s">
        <v>176</v>
      </c>
      <c r="B25" s="5">
        <f>B24^2*B21</f>
        <v>62.5</v>
      </c>
      <c r="C25" s="4" t="s">
        <v>214</v>
      </c>
    </row>
    <row r="26" spans="1:3" x14ac:dyDescent="0.3">
      <c r="A26" s="14" t="s">
        <v>12</v>
      </c>
      <c r="B26" s="6">
        <f>B19*B25/(B20+B25)</f>
        <v>0.55555555555555558</v>
      </c>
      <c r="C26" s="4" t="s">
        <v>215</v>
      </c>
    </row>
    <row r="27" spans="1:3" x14ac:dyDescent="0.3">
      <c r="A27" s="14" t="s">
        <v>13</v>
      </c>
      <c r="B27" s="5">
        <f>B26*1/B24</f>
        <v>2.2222222222222223</v>
      </c>
      <c r="C27" s="4" t="s">
        <v>216</v>
      </c>
    </row>
    <row r="28" spans="1:3" x14ac:dyDescent="0.3">
      <c r="B28" s="5"/>
    </row>
    <row r="29" spans="1:3" x14ac:dyDescent="0.3">
      <c r="A29" s="4" t="s">
        <v>385</v>
      </c>
      <c r="B29" s="5"/>
    </row>
    <row r="30" spans="1:3" x14ac:dyDescent="0.3">
      <c r="A30" s="14" t="s">
        <v>219</v>
      </c>
      <c r="B30" s="6">
        <f>B26/B25</f>
        <v>8.8888888888888889E-3</v>
      </c>
      <c r="C30" s="4" t="s">
        <v>220</v>
      </c>
    </row>
    <row r="31" spans="1:3" x14ac:dyDescent="0.3">
      <c r="A31" s="14" t="s">
        <v>69</v>
      </c>
      <c r="B31" s="6">
        <f>B27/B21</f>
        <v>2.2222222222222222E-3</v>
      </c>
      <c r="C31" s="4" t="s">
        <v>218</v>
      </c>
    </row>
    <row r="32" spans="1:3" x14ac:dyDescent="0.3">
      <c r="A32" s="14" t="s">
        <v>221</v>
      </c>
      <c r="B32" s="6">
        <f>B31/B30</f>
        <v>0.25</v>
      </c>
      <c r="C32" s="4" t="s">
        <v>222</v>
      </c>
    </row>
    <row r="33" spans="1:3" x14ac:dyDescent="0.3">
      <c r="B33" s="6"/>
    </row>
    <row r="34" spans="1:3" x14ac:dyDescent="0.3">
      <c r="A34" s="4" t="s">
        <v>386</v>
      </c>
      <c r="B34" s="5"/>
    </row>
    <row r="35" spans="1:3" x14ac:dyDescent="0.3">
      <c r="A35" s="14" t="s">
        <v>223</v>
      </c>
      <c r="B35" s="5">
        <f>B26*B30</f>
        <v>4.9382716049382715E-3</v>
      </c>
      <c r="C35" s="4" t="s">
        <v>224</v>
      </c>
    </row>
    <row r="36" spans="1:3" x14ac:dyDescent="0.3">
      <c r="A36" s="14" t="s">
        <v>225</v>
      </c>
      <c r="B36" s="5">
        <f>B27*B31</f>
        <v>4.9382716049382715E-3</v>
      </c>
      <c r="C36" s="4" t="s">
        <v>226</v>
      </c>
    </row>
    <row r="38" spans="1:3" x14ac:dyDescent="0.3">
      <c r="A38" s="4" t="s">
        <v>383</v>
      </c>
      <c r="B38" s="5"/>
    </row>
    <row r="39" spans="1:3" x14ac:dyDescent="0.3">
      <c r="A39" s="14" t="s">
        <v>227</v>
      </c>
      <c r="B39" s="6">
        <f>B24^2</f>
        <v>6.25E-2</v>
      </c>
      <c r="C39" s="4" t="s">
        <v>343</v>
      </c>
    </row>
    <row r="40" spans="1:3" x14ac:dyDescent="0.3">
      <c r="A40" s="14" t="s">
        <v>344</v>
      </c>
      <c r="B40" s="1">
        <f>1/B39</f>
        <v>16</v>
      </c>
      <c r="C40" s="4" t="s">
        <v>388</v>
      </c>
    </row>
    <row r="42" spans="1:3" x14ac:dyDescent="0.3">
      <c r="A42" s="4" t="s">
        <v>384</v>
      </c>
    </row>
    <row r="43" spans="1:3" x14ac:dyDescent="0.3">
      <c r="A43" s="7" t="s">
        <v>345</v>
      </c>
      <c r="B43" s="1">
        <v>100</v>
      </c>
    </row>
    <row r="44" spans="1:3" x14ac:dyDescent="0.3">
      <c r="A44" s="14" t="s">
        <v>346</v>
      </c>
      <c r="B44" s="1">
        <f>B43*B40</f>
        <v>1600</v>
      </c>
      <c r="C44" s="4" t="s">
        <v>387</v>
      </c>
    </row>
  </sheetData>
  <hyperlinks>
    <hyperlink ref="A2" r:id="rId1" xr:uid="{A84BCB66-8E3E-4C61-8926-BF4FD95D32CE}"/>
  </hyperlinks>
  <pageMargins left="0.7" right="0.7" top="0.75" bottom="0.75" header="0.3" footer="0.3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27B9A-E262-453E-AC6A-96A6124C11B0}">
  <sheetPr codeName="Sheet18"/>
  <dimension ref="A1:H45"/>
  <sheetViews>
    <sheetView zoomScale="85" zoomScaleNormal="85" workbookViewId="0">
      <selection activeCell="D46" sqref="D46"/>
    </sheetView>
  </sheetViews>
  <sheetFormatPr defaultColWidth="8.77734375" defaultRowHeight="14.4" x14ac:dyDescent="0.3"/>
  <cols>
    <col min="1" max="1" width="8.77734375" style="1"/>
    <col min="2" max="2" width="11.88671875" style="1" customWidth="1"/>
    <col min="3" max="3" width="10.88671875" style="4" customWidth="1"/>
    <col min="4" max="16384" width="8.77734375" style="1"/>
  </cols>
  <sheetData>
    <row r="1" spans="1:5" ht="18" x14ac:dyDescent="0.35">
      <c r="A1" s="2" t="s">
        <v>360</v>
      </c>
    </row>
    <row r="2" spans="1:5" x14ac:dyDescent="0.3">
      <c r="A2" s="3" t="s">
        <v>2</v>
      </c>
      <c r="D2" s="9"/>
      <c r="E2" s="4" t="s">
        <v>17</v>
      </c>
    </row>
    <row r="3" spans="1:5" x14ac:dyDescent="0.3">
      <c r="D3" s="15"/>
      <c r="E3" s="10" t="s">
        <v>18</v>
      </c>
    </row>
    <row r="4" spans="1:5" x14ac:dyDescent="0.3">
      <c r="D4" s="10"/>
      <c r="E4" s="10"/>
    </row>
    <row r="5" spans="1:5" x14ac:dyDescent="0.3">
      <c r="D5" s="10"/>
      <c r="E5" s="10"/>
    </row>
    <row r="6" spans="1:5" x14ac:dyDescent="0.3">
      <c r="D6" s="10"/>
      <c r="E6" s="10"/>
    </row>
    <row r="7" spans="1:5" x14ac:dyDescent="0.3">
      <c r="D7" s="10"/>
      <c r="E7" s="10"/>
    </row>
    <row r="8" spans="1:5" x14ac:dyDescent="0.3">
      <c r="D8" s="10"/>
      <c r="E8" s="10"/>
    </row>
    <row r="9" spans="1:5" x14ac:dyDescent="0.3">
      <c r="D9" s="10"/>
      <c r="E9" s="10"/>
    </row>
    <row r="10" spans="1:5" x14ac:dyDescent="0.3">
      <c r="D10" s="10"/>
      <c r="E10" s="10"/>
    </row>
    <row r="11" spans="1:5" x14ac:dyDescent="0.3">
      <c r="D11" s="10"/>
      <c r="E11" s="10"/>
    </row>
    <row r="12" spans="1:5" x14ac:dyDescent="0.3">
      <c r="D12" s="10"/>
      <c r="E12" s="10"/>
    </row>
    <row r="13" spans="1:5" x14ac:dyDescent="0.3">
      <c r="D13" s="10"/>
      <c r="E13" s="10"/>
    </row>
    <row r="14" spans="1:5" x14ac:dyDescent="0.3">
      <c r="D14" s="10"/>
      <c r="E14" s="10"/>
    </row>
    <row r="17" spans="1:8" x14ac:dyDescent="0.3">
      <c r="A17" s="4" t="s">
        <v>389</v>
      </c>
      <c r="E17"/>
    </row>
    <row r="18" spans="1:8" x14ac:dyDescent="0.3">
      <c r="A18" s="7" t="s">
        <v>0</v>
      </c>
      <c r="B18" s="1">
        <v>30000</v>
      </c>
      <c r="F18"/>
    </row>
    <row r="19" spans="1:8" x14ac:dyDescent="0.3">
      <c r="A19" s="7" t="s">
        <v>157</v>
      </c>
      <c r="B19" s="22">
        <v>1E-13</v>
      </c>
    </row>
    <row r="20" spans="1:8" x14ac:dyDescent="0.3">
      <c r="A20" s="7" t="s">
        <v>1</v>
      </c>
      <c r="B20" s="1">
        <v>10000</v>
      </c>
      <c r="F20"/>
    </row>
    <row r="21" spans="1:8" x14ac:dyDescent="0.3">
      <c r="A21" s="7" t="s">
        <v>228</v>
      </c>
      <c r="B21" s="22">
        <v>9.9999999999999994E-12</v>
      </c>
    </row>
    <row r="23" spans="1:8" x14ac:dyDescent="0.3">
      <c r="A23" s="4" t="s">
        <v>232</v>
      </c>
    </row>
    <row r="24" spans="1:8" x14ac:dyDescent="0.3">
      <c r="A24" s="14" t="s">
        <v>229</v>
      </c>
      <c r="B24" s="6">
        <f>B20/(B18+B20)</f>
        <v>0.25</v>
      </c>
      <c r="C24" s="4" t="s">
        <v>230</v>
      </c>
    </row>
    <row r="26" spans="1:8" x14ac:dyDescent="0.3">
      <c r="A26" s="4" t="s">
        <v>311</v>
      </c>
    </row>
    <row r="27" spans="1:8" x14ac:dyDescent="0.3">
      <c r="A27" s="14" t="s">
        <v>307</v>
      </c>
      <c r="B27" s="22">
        <f>B18*B19</f>
        <v>3E-9</v>
      </c>
      <c r="C27" s="4" t="s">
        <v>309</v>
      </c>
    </row>
    <row r="28" spans="1:8" x14ac:dyDescent="0.3">
      <c r="A28" s="14" t="s">
        <v>310</v>
      </c>
      <c r="B28" s="22">
        <f>B20*B21</f>
        <v>9.9999999999999995E-8</v>
      </c>
      <c r="C28" s="4" t="s">
        <v>308</v>
      </c>
    </row>
    <row r="30" spans="1:8" x14ac:dyDescent="0.3">
      <c r="A30" s="37" t="s">
        <v>390</v>
      </c>
    </row>
    <row r="31" spans="1:8" x14ac:dyDescent="0.3">
      <c r="A31" s="4"/>
    </row>
    <row r="32" spans="1:8" x14ac:dyDescent="0.3">
      <c r="B32" s="1" t="s">
        <v>312</v>
      </c>
      <c r="C32" s="1"/>
      <c r="E32" s="1" t="s">
        <v>313</v>
      </c>
      <c r="H32" s="1" t="s">
        <v>314</v>
      </c>
    </row>
    <row r="39" spans="1:4" x14ac:dyDescent="0.3">
      <c r="A39" s="4"/>
    </row>
    <row r="40" spans="1:4" x14ac:dyDescent="0.3">
      <c r="A40" s="4"/>
    </row>
    <row r="41" spans="1:4" x14ac:dyDescent="0.3">
      <c r="A41" s="4"/>
    </row>
    <row r="42" spans="1:4" x14ac:dyDescent="0.3">
      <c r="A42" s="4" t="s">
        <v>410</v>
      </c>
    </row>
    <row r="43" spans="1:4" x14ac:dyDescent="0.3">
      <c r="A43" s="4" t="s">
        <v>411</v>
      </c>
    </row>
    <row r="44" spans="1:4" x14ac:dyDescent="0.3">
      <c r="A44" s="4" t="s">
        <v>412</v>
      </c>
    </row>
    <row r="45" spans="1:4" x14ac:dyDescent="0.3">
      <c r="A45" s="14" t="s">
        <v>157</v>
      </c>
      <c r="B45" s="22">
        <f>B20*B21/B18</f>
        <v>3.3333333333333331E-12</v>
      </c>
      <c r="C45" s="4" t="s">
        <v>231</v>
      </c>
      <c r="D45" s="4" t="s">
        <v>413</v>
      </c>
    </row>
  </sheetData>
  <hyperlinks>
    <hyperlink ref="A2" r:id="rId1" xr:uid="{59E89223-BE18-4BCF-AF39-04A484C694AF}"/>
  </hyperlinks>
  <pageMargins left="0.7" right="0.7" top="0.75" bottom="0.75" header="0.3" footer="0.3"/>
  <pageSetup orientation="portrait" r:id="rId2"/>
  <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5969-596E-4042-938F-DAD78FE132DE}">
  <sheetPr codeName="Sheet19"/>
  <dimension ref="A1:E32"/>
  <sheetViews>
    <sheetView zoomScale="85" zoomScaleNormal="85" workbookViewId="0">
      <selection activeCell="K23" sqref="K23"/>
    </sheetView>
  </sheetViews>
  <sheetFormatPr defaultRowHeight="14.4" x14ac:dyDescent="0.3"/>
  <cols>
    <col min="1" max="1" width="14.109375" customWidth="1"/>
    <col min="2" max="2" width="16" customWidth="1"/>
  </cols>
  <sheetData>
    <row r="1" spans="1:5" ht="18" x14ac:dyDescent="0.35">
      <c r="A1" s="8" t="s">
        <v>233</v>
      </c>
    </row>
    <row r="2" spans="1:5" x14ac:dyDescent="0.3">
      <c r="A2" s="3" t="s">
        <v>2</v>
      </c>
      <c r="D2" s="9"/>
      <c r="E2" s="4" t="s">
        <v>41</v>
      </c>
    </row>
    <row r="3" spans="1:5" x14ac:dyDescent="0.3">
      <c r="D3" s="15"/>
      <c r="E3" s="10" t="s">
        <v>42</v>
      </c>
    </row>
    <row r="14" spans="1:5" x14ac:dyDescent="0.3">
      <c r="A14" t="s">
        <v>236</v>
      </c>
    </row>
    <row r="15" spans="1:5" x14ac:dyDescent="0.3">
      <c r="A15" s="7" t="s">
        <v>12</v>
      </c>
      <c r="B15" s="5">
        <v>20</v>
      </c>
      <c r="C15" s="4"/>
    </row>
    <row r="16" spans="1:5" x14ac:dyDescent="0.3">
      <c r="A16" s="7" t="s">
        <v>13</v>
      </c>
      <c r="B16" s="5">
        <v>10</v>
      </c>
      <c r="C16" s="4"/>
    </row>
    <row r="17" spans="1:3" x14ac:dyDescent="0.3">
      <c r="A17" s="7" t="s">
        <v>234</v>
      </c>
      <c r="B17" s="22">
        <v>1E-4</v>
      </c>
      <c r="C17" s="4"/>
    </row>
    <row r="18" spans="1:3" x14ac:dyDescent="0.3">
      <c r="A18" s="7" t="s">
        <v>45</v>
      </c>
      <c r="B18" s="22">
        <v>2.5000000000000001E-5</v>
      </c>
      <c r="C18" s="4"/>
    </row>
    <row r="19" spans="1:3" x14ac:dyDescent="0.3">
      <c r="A19" s="7" t="s">
        <v>122</v>
      </c>
      <c r="B19" s="5">
        <v>10</v>
      </c>
      <c r="C19" s="4"/>
    </row>
    <row r="20" spans="1:3" x14ac:dyDescent="0.3">
      <c r="A20" s="7" t="s">
        <v>235</v>
      </c>
      <c r="B20" s="11">
        <v>50000</v>
      </c>
    </row>
    <row r="22" spans="1:3" x14ac:dyDescent="0.3">
      <c r="A22" t="s">
        <v>391</v>
      </c>
    </row>
    <row r="23" spans="1:3" x14ac:dyDescent="0.3">
      <c r="A23" s="14" t="s">
        <v>237</v>
      </c>
      <c r="B23" s="22">
        <f>1/B20</f>
        <v>2.0000000000000002E-5</v>
      </c>
      <c r="C23" s="4" t="s">
        <v>392</v>
      </c>
    </row>
    <row r="24" spans="1:3" x14ac:dyDescent="0.3">
      <c r="A24" s="14" t="s">
        <v>394</v>
      </c>
      <c r="B24" s="6">
        <f>B16/B15</f>
        <v>0.5</v>
      </c>
      <c r="C24" s="4" t="s">
        <v>238</v>
      </c>
    </row>
    <row r="25" spans="1:3" x14ac:dyDescent="0.3">
      <c r="A25" s="14" t="s">
        <v>239</v>
      </c>
      <c r="B25" s="22">
        <f>B23*B24</f>
        <v>1.0000000000000001E-5</v>
      </c>
      <c r="C25" s="4" t="s">
        <v>240</v>
      </c>
    </row>
    <row r="26" spans="1:3" x14ac:dyDescent="0.3">
      <c r="A26" s="14" t="s">
        <v>242</v>
      </c>
      <c r="B26" s="22">
        <f>B23*(1-B24)</f>
        <v>1.0000000000000001E-5</v>
      </c>
      <c r="C26" s="4" t="s">
        <v>241</v>
      </c>
    </row>
    <row r="28" spans="1:3" x14ac:dyDescent="0.3">
      <c r="A28" t="s">
        <v>393</v>
      </c>
    </row>
    <row r="29" spans="1:3" x14ac:dyDescent="0.3">
      <c r="A29" s="14" t="s">
        <v>69</v>
      </c>
      <c r="B29" s="20">
        <f>B16/B19</f>
        <v>1</v>
      </c>
      <c r="C29" t="s">
        <v>218</v>
      </c>
    </row>
    <row r="30" spans="1:3" x14ac:dyDescent="0.3">
      <c r="A30" s="14" t="s">
        <v>243</v>
      </c>
      <c r="B30" s="22">
        <f>(B15-B16)/B17*B25</f>
        <v>1</v>
      </c>
      <c r="C30" t="s">
        <v>244</v>
      </c>
    </row>
    <row r="31" spans="1:3" x14ac:dyDescent="0.3">
      <c r="A31" s="14" t="s">
        <v>245</v>
      </c>
      <c r="B31" s="22">
        <f>B30</f>
        <v>1</v>
      </c>
      <c r="C31" t="s">
        <v>243</v>
      </c>
    </row>
    <row r="32" spans="1:3" x14ac:dyDescent="0.3">
      <c r="A32" s="14" t="s">
        <v>247</v>
      </c>
      <c r="B32" s="22">
        <f>B31*B23/(8*B18)</f>
        <v>0.1</v>
      </c>
      <c r="C32" t="s">
        <v>246</v>
      </c>
    </row>
  </sheetData>
  <hyperlinks>
    <hyperlink ref="A2" r:id="rId1" xr:uid="{C9B34E9B-5A25-4910-B505-8D2FB772F57D}"/>
  </hyperlinks>
  <pageMargins left="0.7" right="0.7" top="0.75" bottom="0.75" header="0.3" footer="0.3"/>
  <pageSetup orientation="portrait" r:id="rId2"/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4DFD-0711-4629-AD11-8E9CE2BB4DF5}">
  <sheetPr codeName="Sheet20"/>
  <dimension ref="A1:E49"/>
  <sheetViews>
    <sheetView zoomScale="85" zoomScaleNormal="85" workbookViewId="0">
      <selection activeCell="E49" sqref="E49"/>
    </sheetView>
  </sheetViews>
  <sheetFormatPr defaultRowHeight="14.4" x14ac:dyDescent="0.3"/>
  <cols>
    <col min="1" max="1" width="23.109375" customWidth="1"/>
    <col min="2" max="2" width="16.77734375" customWidth="1"/>
    <col min="3" max="3" width="16.6640625" customWidth="1"/>
    <col min="4" max="4" width="11.33203125" customWidth="1"/>
  </cols>
  <sheetData>
    <row r="1" spans="1:5" ht="18" x14ac:dyDescent="0.35">
      <c r="A1" s="8" t="s">
        <v>395</v>
      </c>
    </row>
    <row r="2" spans="1:5" x14ac:dyDescent="0.3">
      <c r="A2" s="3" t="s">
        <v>2</v>
      </c>
      <c r="D2" s="9"/>
      <c r="E2" s="4" t="s">
        <v>41</v>
      </c>
    </row>
    <row r="3" spans="1:5" x14ac:dyDescent="0.3">
      <c r="D3" s="15"/>
      <c r="E3" s="10" t="s">
        <v>42</v>
      </c>
    </row>
    <row r="15" spans="1:5" x14ac:dyDescent="0.3">
      <c r="A15" t="s">
        <v>433</v>
      </c>
      <c r="B15" s="1" t="s">
        <v>435</v>
      </c>
      <c r="C15" s="1" t="s">
        <v>434</v>
      </c>
    </row>
    <row r="16" spans="1:5" x14ac:dyDescent="0.3">
      <c r="A16" s="16" t="s">
        <v>248</v>
      </c>
      <c r="B16" s="20">
        <v>1</v>
      </c>
      <c r="C16" s="20">
        <v>1.1000000000000001</v>
      </c>
    </row>
    <row r="17" spans="1:3" x14ac:dyDescent="0.3">
      <c r="A17" s="16" t="s">
        <v>249</v>
      </c>
      <c r="B17" s="20">
        <v>10</v>
      </c>
      <c r="C17" s="20">
        <v>10.5</v>
      </c>
    </row>
    <row r="19" spans="1:3" x14ac:dyDescent="0.3">
      <c r="A19" t="s">
        <v>446</v>
      </c>
    </row>
    <row r="20" spans="1:3" x14ac:dyDescent="0.3">
      <c r="A20" s="17" t="s">
        <v>436</v>
      </c>
      <c r="B20" s="6">
        <f>(C17-C16)/(B17-B16)</f>
        <v>1.0444444444444445</v>
      </c>
      <c r="C20" s="4" t="s">
        <v>447</v>
      </c>
    </row>
    <row r="21" spans="1:3" x14ac:dyDescent="0.3">
      <c r="A21" s="17" t="s">
        <v>437</v>
      </c>
      <c r="B21" s="6">
        <f>C16-B20*B16</f>
        <v>5.555555555555558E-2</v>
      </c>
      <c r="C21" s="24" t="s">
        <v>448</v>
      </c>
    </row>
    <row r="38" spans="1:3" x14ac:dyDescent="0.3">
      <c r="A38" t="s">
        <v>480</v>
      </c>
    </row>
    <row r="39" spans="1:3" x14ac:dyDescent="0.3">
      <c r="A39" t="s">
        <v>444</v>
      </c>
    </row>
    <row r="40" spans="1:3" x14ac:dyDescent="0.3">
      <c r="A40" t="s">
        <v>449</v>
      </c>
    </row>
    <row r="41" spans="1:3" x14ac:dyDescent="0.3">
      <c r="A41" t="s">
        <v>450</v>
      </c>
    </row>
    <row r="42" spans="1:3" x14ac:dyDescent="0.3">
      <c r="A42" s="17" t="s">
        <v>442</v>
      </c>
      <c r="B42" s="6">
        <f>1/B20</f>
        <v>0.95744680851063824</v>
      </c>
      <c r="C42" s="4" t="s">
        <v>250</v>
      </c>
    </row>
    <row r="43" spans="1:3" x14ac:dyDescent="0.3">
      <c r="A43" s="17" t="s">
        <v>443</v>
      </c>
      <c r="B43" s="6">
        <f>-B21/B20</f>
        <v>-5.3191489361702149E-2</v>
      </c>
      <c r="C43" s="24" t="s">
        <v>438</v>
      </c>
    </row>
    <row r="46" spans="1:3" x14ac:dyDescent="0.3">
      <c r="A46" t="s">
        <v>451</v>
      </c>
    </row>
    <row r="47" spans="1:3" x14ac:dyDescent="0.3">
      <c r="A47" t="s">
        <v>251</v>
      </c>
      <c r="B47" s="1" t="s">
        <v>440</v>
      </c>
      <c r="C47" t="s">
        <v>439</v>
      </c>
    </row>
    <row r="48" spans="1:3" x14ac:dyDescent="0.3">
      <c r="A48" s="17" t="s">
        <v>445</v>
      </c>
      <c r="B48" s="6">
        <f>C16</f>
        <v>1.1000000000000001</v>
      </c>
      <c r="C48" s="34">
        <f>B48*B42+B43</f>
        <v>0.99999999999999989</v>
      </c>
    </row>
    <row r="49" spans="1:3" x14ac:dyDescent="0.3">
      <c r="A49" s="17" t="s">
        <v>441</v>
      </c>
      <c r="B49" s="6">
        <f>C17</f>
        <v>10.5</v>
      </c>
      <c r="C49" s="34">
        <f>B49*B42+B43</f>
        <v>10</v>
      </c>
    </row>
  </sheetData>
  <hyperlinks>
    <hyperlink ref="A2" r:id="rId1" xr:uid="{5ECBDC8D-B1E7-4CFE-B160-FB04CC14BD9C}"/>
  </hyperlinks>
  <pageMargins left="0.7" right="0.7" top="0.75" bottom="0.75" header="0.3" footer="0.3"/>
  <pageSetup orientation="portrait" r:id="rId2"/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0E9F5-B573-4D6C-9C37-7D3AA3FE5470}">
  <sheetPr codeName="Sheet21"/>
  <dimension ref="A1:F35"/>
  <sheetViews>
    <sheetView zoomScale="85" zoomScaleNormal="85" workbookViewId="0">
      <selection activeCell="I14" sqref="I14"/>
    </sheetView>
  </sheetViews>
  <sheetFormatPr defaultColWidth="8.77734375" defaultRowHeight="14.4" x14ac:dyDescent="0.3"/>
  <cols>
    <col min="1" max="1" width="12.21875" style="1" customWidth="1"/>
    <col min="2" max="2" width="8.77734375" style="1"/>
    <col min="3" max="3" width="8.77734375" style="4"/>
    <col min="4" max="16384" width="8.77734375" style="1"/>
  </cols>
  <sheetData>
    <row r="1" spans="1:5" ht="18" x14ac:dyDescent="0.35">
      <c r="A1" s="2" t="s">
        <v>252</v>
      </c>
    </row>
    <row r="2" spans="1:5" x14ac:dyDescent="0.3">
      <c r="A2" s="3" t="s">
        <v>2</v>
      </c>
      <c r="D2" s="9"/>
      <c r="E2" s="4" t="s">
        <v>17</v>
      </c>
    </row>
    <row r="3" spans="1:5" x14ac:dyDescent="0.3">
      <c r="D3" s="15"/>
      <c r="E3" s="10" t="s">
        <v>18</v>
      </c>
    </row>
    <row r="4" spans="1:5" x14ac:dyDescent="0.3">
      <c r="D4" s="10"/>
      <c r="E4" s="10"/>
    </row>
    <row r="5" spans="1:5" x14ac:dyDescent="0.3">
      <c r="D5" s="10"/>
      <c r="E5" s="10"/>
    </row>
    <row r="6" spans="1:5" x14ac:dyDescent="0.3">
      <c r="D6" s="10"/>
      <c r="E6" s="10"/>
    </row>
    <row r="7" spans="1:5" x14ac:dyDescent="0.3">
      <c r="D7" s="10"/>
      <c r="E7" s="10"/>
    </row>
    <row r="8" spans="1:5" x14ac:dyDescent="0.3">
      <c r="B8"/>
      <c r="D8" s="10"/>
      <c r="E8" s="10"/>
    </row>
    <row r="9" spans="1:5" x14ac:dyDescent="0.3">
      <c r="D9" s="10"/>
      <c r="E9" s="10"/>
    </row>
    <row r="10" spans="1:5" x14ac:dyDescent="0.3">
      <c r="D10" s="10"/>
      <c r="E10" s="10"/>
    </row>
    <row r="11" spans="1:5" x14ac:dyDescent="0.3">
      <c r="D11" s="10"/>
      <c r="E11" s="10"/>
    </row>
    <row r="12" spans="1:5" x14ac:dyDescent="0.3">
      <c r="D12" s="10"/>
      <c r="E12" s="10"/>
    </row>
    <row r="17" spans="1:6" x14ac:dyDescent="0.3">
      <c r="A17" s="4" t="s">
        <v>158</v>
      </c>
      <c r="E17"/>
    </row>
    <row r="18" spans="1:6" x14ac:dyDescent="0.3">
      <c r="A18" s="7" t="s">
        <v>111</v>
      </c>
      <c r="B18" s="6">
        <v>5</v>
      </c>
      <c r="F18"/>
    </row>
    <row r="19" spans="1:6" x14ac:dyDescent="0.3">
      <c r="A19" s="7" t="s">
        <v>0</v>
      </c>
      <c r="B19" s="1">
        <v>9000</v>
      </c>
      <c r="F19"/>
    </row>
    <row r="20" spans="1:6" x14ac:dyDescent="0.3">
      <c r="A20" s="7" t="s">
        <v>1</v>
      </c>
      <c r="B20" s="1">
        <v>1000</v>
      </c>
    </row>
    <row r="21" spans="1:6" x14ac:dyDescent="0.3">
      <c r="A21" s="7" t="s">
        <v>5</v>
      </c>
      <c r="B21" s="1">
        <v>100000</v>
      </c>
      <c r="C21" s="4" t="s">
        <v>263</v>
      </c>
    </row>
    <row r="23" spans="1:6" x14ac:dyDescent="0.3">
      <c r="A23" s="4" t="s">
        <v>397</v>
      </c>
      <c r="E23"/>
    </row>
    <row r="24" spans="1:6" x14ac:dyDescent="0.3">
      <c r="A24" s="7" t="s">
        <v>257</v>
      </c>
      <c r="B24" s="20">
        <v>5</v>
      </c>
      <c r="F24"/>
    </row>
    <row r="25" spans="1:6" x14ac:dyDescent="0.3">
      <c r="A25" s="7" t="s">
        <v>258</v>
      </c>
      <c r="B25" s="20">
        <v>0.2</v>
      </c>
      <c r="F25"/>
    </row>
    <row r="27" spans="1:6" x14ac:dyDescent="0.3">
      <c r="A27" s="4" t="s">
        <v>264</v>
      </c>
      <c r="E27"/>
    </row>
    <row r="28" spans="1:6" x14ac:dyDescent="0.3">
      <c r="A28" s="14" t="s">
        <v>253</v>
      </c>
      <c r="B28" s="5">
        <f>1/(1/B19+1/B20)</f>
        <v>900</v>
      </c>
      <c r="C28" s="4" t="s">
        <v>254</v>
      </c>
    </row>
    <row r="29" spans="1:6" x14ac:dyDescent="0.3">
      <c r="A29" s="14" t="s">
        <v>94</v>
      </c>
      <c r="B29" s="5">
        <f>1/(1/B20+1/B21)</f>
        <v>990.09900990099004</v>
      </c>
      <c r="C29" s="4" t="s">
        <v>97</v>
      </c>
    </row>
    <row r="30" spans="1:6" x14ac:dyDescent="0.3">
      <c r="B30" s="5"/>
    </row>
    <row r="31" spans="1:6" x14ac:dyDescent="0.3">
      <c r="A31" s="14" t="s">
        <v>260</v>
      </c>
      <c r="B31" s="6">
        <f>B18*B29/(B29+B19)+B25*B28/(B28+B21)</f>
        <v>0.49732408325074334</v>
      </c>
      <c r="C31" s="4" t="s">
        <v>256</v>
      </c>
    </row>
    <row r="32" spans="1:6" x14ac:dyDescent="0.3">
      <c r="A32" s="14" t="s">
        <v>259</v>
      </c>
      <c r="B32" s="6">
        <f>B18*B29/(B29+B19)+B24*B28/(B28+B21)</f>
        <v>0.54013875123885036</v>
      </c>
      <c r="C32" s="4" t="s">
        <v>255</v>
      </c>
    </row>
    <row r="33" spans="1:3" x14ac:dyDescent="0.3">
      <c r="B33" s="6"/>
    </row>
    <row r="34" spans="1:3" x14ac:dyDescent="0.3">
      <c r="A34" s="4" t="s">
        <v>396</v>
      </c>
    </row>
    <row r="35" spans="1:3" x14ac:dyDescent="0.3">
      <c r="A35" s="14" t="s">
        <v>261</v>
      </c>
      <c r="B35" s="6">
        <f>B32-B31</f>
        <v>4.2814667988107014E-2</v>
      </c>
      <c r="C35" s="4" t="s">
        <v>262</v>
      </c>
    </row>
  </sheetData>
  <hyperlinks>
    <hyperlink ref="A2" r:id="rId1" xr:uid="{B8442122-8630-4675-A8D5-793B7828F95E}"/>
  </hyperlinks>
  <pageMargins left="0.7" right="0.7" top="0.75" bottom="0.75" header="0.3" footer="0.3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B1933-1B9C-4F09-B703-006054158431}">
  <sheetPr codeName="Sheet22"/>
  <dimension ref="A1:E52"/>
  <sheetViews>
    <sheetView zoomScale="85" zoomScaleNormal="85" workbookViewId="0">
      <selection activeCell="J30" sqref="J30"/>
    </sheetView>
  </sheetViews>
  <sheetFormatPr defaultRowHeight="14.4" x14ac:dyDescent="0.3"/>
  <cols>
    <col min="1" max="1" width="16.21875" customWidth="1"/>
    <col min="2" max="2" width="12" customWidth="1"/>
  </cols>
  <sheetData>
    <row r="1" spans="1:5" ht="18" x14ac:dyDescent="0.35">
      <c r="A1" s="8" t="s">
        <v>265</v>
      </c>
    </row>
    <row r="2" spans="1:5" x14ac:dyDescent="0.3">
      <c r="A2" s="3" t="s">
        <v>2</v>
      </c>
      <c r="D2" s="9"/>
      <c r="E2" s="4" t="s">
        <v>41</v>
      </c>
    </row>
    <row r="3" spans="1:5" x14ac:dyDescent="0.3">
      <c r="D3" s="15"/>
      <c r="E3" s="10" t="s">
        <v>42</v>
      </c>
    </row>
    <row r="14" spans="1:5" x14ac:dyDescent="0.3">
      <c r="A14" t="s">
        <v>271</v>
      </c>
    </row>
    <row r="15" spans="1:5" x14ac:dyDescent="0.3">
      <c r="A15" t="s">
        <v>268</v>
      </c>
    </row>
    <row r="16" spans="1:5" x14ac:dyDescent="0.3">
      <c r="A16" s="7" t="s">
        <v>45</v>
      </c>
      <c r="B16" s="13">
        <v>1.0000000000000001E-9</v>
      </c>
      <c r="C16" s="4"/>
    </row>
    <row r="17" spans="1:3" x14ac:dyDescent="0.3">
      <c r="A17" s="7" t="s">
        <v>266</v>
      </c>
      <c r="B17" s="11">
        <v>100000</v>
      </c>
      <c r="C17" s="4"/>
    </row>
    <row r="18" spans="1:3" x14ac:dyDescent="0.3">
      <c r="A18" s="14" t="s">
        <v>267</v>
      </c>
      <c r="B18" s="11">
        <f>1/(2*PI()*B16*B17)</f>
        <v>1591.5494309189535</v>
      </c>
      <c r="C18" s="4" t="s">
        <v>269</v>
      </c>
    </row>
    <row r="20" spans="1:3" x14ac:dyDescent="0.3">
      <c r="A20" t="s">
        <v>48</v>
      </c>
    </row>
    <row r="21" spans="1:3" x14ac:dyDescent="0.3">
      <c r="A21" s="7" t="s">
        <v>267</v>
      </c>
      <c r="B21" s="11">
        <v>1592</v>
      </c>
      <c r="C21" s="4"/>
    </row>
    <row r="22" spans="1:3" x14ac:dyDescent="0.3">
      <c r="A22" s="7" t="s">
        <v>266</v>
      </c>
      <c r="B22" s="11">
        <v>100000</v>
      </c>
      <c r="C22" s="4"/>
    </row>
    <row r="23" spans="1:3" x14ac:dyDescent="0.3">
      <c r="A23" s="14" t="s">
        <v>45</v>
      </c>
      <c r="B23" s="13">
        <f>1/(2*PI()*B21*B22)</f>
        <v>9.9971697922044796E-10</v>
      </c>
      <c r="C23" s="4" t="s">
        <v>270</v>
      </c>
    </row>
    <row r="25" spans="1:3" x14ac:dyDescent="0.3">
      <c r="A25" t="s">
        <v>278</v>
      </c>
    </row>
    <row r="26" spans="1:3" x14ac:dyDescent="0.3">
      <c r="A26" s="7" t="s">
        <v>44</v>
      </c>
      <c r="B26" s="11">
        <v>1592</v>
      </c>
    </row>
    <row r="27" spans="1:3" x14ac:dyDescent="0.3">
      <c r="A27" s="7" t="s">
        <v>45</v>
      </c>
      <c r="B27" s="13">
        <v>1.0000000000000001E-9</v>
      </c>
      <c r="C27" s="4"/>
    </row>
    <row r="28" spans="1:3" x14ac:dyDescent="0.3">
      <c r="A28" s="7" t="s">
        <v>266</v>
      </c>
      <c r="B28" s="11">
        <v>100000</v>
      </c>
      <c r="C28" s="4"/>
    </row>
    <row r="29" spans="1:3" x14ac:dyDescent="0.3">
      <c r="A29" s="7"/>
      <c r="B29" s="11"/>
      <c r="C29" s="4"/>
    </row>
    <row r="30" spans="1:3" x14ac:dyDescent="0.3">
      <c r="A30" s="14" t="s">
        <v>267</v>
      </c>
      <c r="B30" s="11">
        <f>1/(2*PI()*B27*B28)</f>
        <v>1591.5494309189535</v>
      </c>
      <c r="C30" s="4" t="s">
        <v>269</v>
      </c>
    </row>
    <row r="31" spans="1:3" x14ac:dyDescent="0.3">
      <c r="A31" s="14" t="s">
        <v>279</v>
      </c>
      <c r="B31" s="11">
        <f>SQRT(B26^2+B30^2)</f>
        <v>2251.1094133911938</v>
      </c>
      <c r="C31" s="4" t="s">
        <v>280</v>
      </c>
    </row>
    <row r="32" spans="1:3" x14ac:dyDescent="0.3">
      <c r="A32" s="14" t="s">
        <v>282</v>
      </c>
      <c r="B32" s="5">
        <f>-ATAN(B30/B26)*180/PI()</f>
        <v>-44.991890904441448</v>
      </c>
      <c r="C32" s="24" t="s">
        <v>281</v>
      </c>
    </row>
    <row r="35" spans="1:3" x14ac:dyDescent="0.3">
      <c r="A35" t="s">
        <v>272</v>
      </c>
    </row>
    <row r="36" spans="1:3" x14ac:dyDescent="0.3">
      <c r="A36" t="s">
        <v>273</v>
      </c>
    </row>
    <row r="37" spans="1:3" x14ac:dyDescent="0.3">
      <c r="A37" s="7" t="s">
        <v>234</v>
      </c>
      <c r="B37" s="13">
        <v>1E-4</v>
      </c>
      <c r="C37" s="4"/>
    </row>
    <row r="38" spans="1:3" x14ac:dyDescent="0.3">
      <c r="A38" s="7" t="s">
        <v>266</v>
      </c>
      <c r="B38" s="11">
        <v>100000</v>
      </c>
      <c r="C38" s="4"/>
    </row>
    <row r="39" spans="1:3" x14ac:dyDescent="0.3">
      <c r="A39" s="14" t="s">
        <v>274</v>
      </c>
      <c r="B39" s="11">
        <f>(2*PI()*B37*B38)</f>
        <v>62.831853071795862</v>
      </c>
      <c r="C39" s="4" t="s">
        <v>275</v>
      </c>
    </row>
    <row r="41" spans="1:3" x14ac:dyDescent="0.3">
      <c r="A41" t="s">
        <v>277</v>
      </c>
    </row>
    <row r="42" spans="1:3" x14ac:dyDescent="0.3">
      <c r="A42" s="7" t="s">
        <v>274</v>
      </c>
      <c r="B42" s="11">
        <v>63</v>
      </c>
      <c r="C42" s="4"/>
    </row>
    <row r="43" spans="1:3" x14ac:dyDescent="0.3">
      <c r="A43" s="7" t="s">
        <v>266</v>
      </c>
      <c r="B43" s="11">
        <v>100000</v>
      </c>
      <c r="C43" s="4"/>
    </row>
    <row r="44" spans="1:3" x14ac:dyDescent="0.3">
      <c r="A44" s="14" t="s">
        <v>234</v>
      </c>
      <c r="B44" s="13">
        <f>B42/(2*PI()*B43)</f>
        <v>1.0026761414789407E-4</v>
      </c>
      <c r="C44" s="4" t="s">
        <v>276</v>
      </c>
    </row>
    <row r="46" spans="1:3" x14ac:dyDescent="0.3">
      <c r="A46" t="s">
        <v>283</v>
      </c>
    </row>
    <row r="47" spans="1:3" x14ac:dyDescent="0.3">
      <c r="A47" s="7" t="s">
        <v>44</v>
      </c>
      <c r="B47" s="11">
        <v>63</v>
      </c>
    </row>
    <row r="48" spans="1:3" x14ac:dyDescent="0.3">
      <c r="A48" s="7" t="s">
        <v>234</v>
      </c>
      <c r="B48" s="13">
        <v>1E-4</v>
      </c>
      <c r="C48" s="4"/>
    </row>
    <row r="49" spans="1:3" x14ac:dyDescent="0.3">
      <c r="A49" s="7" t="s">
        <v>266</v>
      </c>
      <c r="B49" s="11">
        <v>100000</v>
      </c>
      <c r="C49" s="4"/>
    </row>
    <row r="50" spans="1:3" x14ac:dyDescent="0.3">
      <c r="A50" s="14" t="s">
        <v>274</v>
      </c>
      <c r="B50" s="11">
        <f>(2*PI()*B48*B49)</f>
        <v>62.831853071795862</v>
      </c>
      <c r="C50" s="4" t="s">
        <v>275</v>
      </c>
    </row>
    <row r="51" spans="1:3" x14ac:dyDescent="0.3">
      <c r="A51" s="14" t="s">
        <v>279</v>
      </c>
      <c r="B51" s="11">
        <f>SQRT(B47^2+B50^2)</f>
        <v>88.976636036859389</v>
      </c>
      <c r="C51" s="4" t="s">
        <v>280</v>
      </c>
    </row>
    <row r="52" spans="1:3" x14ac:dyDescent="0.3">
      <c r="A52" s="14" t="s">
        <v>282</v>
      </c>
      <c r="B52" s="5">
        <f>ATAN(B50/B47)*180/PI()</f>
        <v>44.923436686700398</v>
      </c>
      <c r="C52" s="24" t="s">
        <v>284</v>
      </c>
    </row>
  </sheetData>
  <hyperlinks>
    <hyperlink ref="A2" r:id="rId1" xr:uid="{2A784E40-3115-447E-AF5D-6B3CED667B9C}"/>
  </hyperlinks>
  <pageMargins left="0.7" right="0.7" top="0.75" bottom="0.75" header="0.3" footer="0.3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DC34C-93EA-42C0-87D2-BD86A302F1FA}">
  <sheetPr codeName="Sheet24"/>
  <dimension ref="A1:F33"/>
  <sheetViews>
    <sheetView zoomScale="85" zoomScaleNormal="85" workbookViewId="0">
      <selection activeCell="H23" sqref="H23"/>
    </sheetView>
  </sheetViews>
  <sheetFormatPr defaultColWidth="8.77734375" defaultRowHeight="14.4" x14ac:dyDescent="0.3"/>
  <cols>
    <col min="1" max="1" width="12.21875" style="1" customWidth="1"/>
    <col min="2" max="2" width="9.5546875" style="1" bestFit="1" customWidth="1"/>
    <col min="3" max="3" width="8.77734375" style="4"/>
    <col min="4" max="16384" width="8.77734375" style="1"/>
  </cols>
  <sheetData>
    <row r="1" spans="1:5" ht="18" x14ac:dyDescent="0.35">
      <c r="A1" s="2" t="s">
        <v>293</v>
      </c>
    </row>
    <row r="2" spans="1:5" x14ac:dyDescent="0.3">
      <c r="A2" s="3" t="s">
        <v>2</v>
      </c>
      <c r="D2" s="9"/>
      <c r="E2" s="4" t="s">
        <v>17</v>
      </c>
    </row>
    <row r="3" spans="1:5" x14ac:dyDescent="0.3">
      <c r="D3" s="15"/>
      <c r="E3" s="10" t="s">
        <v>18</v>
      </c>
    </row>
    <row r="4" spans="1:5" x14ac:dyDescent="0.3">
      <c r="D4" s="10"/>
      <c r="E4" s="10"/>
    </row>
    <row r="5" spans="1:5" x14ac:dyDescent="0.3">
      <c r="B5"/>
      <c r="D5" s="10"/>
      <c r="E5" s="10"/>
    </row>
    <row r="6" spans="1:5" x14ac:dyDescent="0.3">
      <c r="D6" s="10"/>
      <c r="E6" s="10"/>
    </row>
    <row r="7" spans="1:5" x14ac:dyDescent="0.3">
      <c r="D7" s="10"/>
      <c r="E7" s="10"/>
    </row>
    <row r="8" spans="1:5" x14ac:dyDescent="0.3">
      <c r="B8"/>
      <c r="D8" s="10"/>
      <c r="E8" s="10"/>
    </row>
    <row r="9" spans="1:5" x14ac:dyDescent="0.3">
      <c r="D9" s="10"/>
      <c r="E9" s="10"/>
    </row>
    <row r="10" spans="1:5" x14ac:dyDescent="0.3">
      <c r="D10" s="10"/>
      <c r="E10" s="10"/>
    </row>
    <row r="11" spans="1:5" x14ac:dyDescent="0.3">
      <c r="D11" s="10"/>
      <c r="E11" s="10"/>
    </row>
    <row r="12" spans="1:5" x14ac:dyDescent="0.3">
      <c r="D12" s="10"/>
      <c r="E12" s="10"/>
    </row>
    <row r="22" spans="1:6" x14ac:dyDescent="0.3">
      <c r="A22" s="4" t="s">
        <v>158</v>
      </c>
      <c r="E22"/>
    </row>
    <row r="23" spans="1:6" x14ac:dyDescent="0.3">
      <c r="A23" s="7" t="s">
        <v>12</v>
      </c>
      <c r="B23" s="6">
        <v>2</v>
      </c>
      <c r="F23"/>
    </row>
    <row r="24" spans="1:6" x14ac:dyDescent="0.3">
      <c r="A24" s="7" t="s">
        <v>288</v>
      </c>
      <c r="B24" s="1">
        <v>100</v>
      </c>
      <c r="F24"/>
    </row>
    <row r="25" spans="1:6" x14ac:dyDescent="0.3">
      <c r="A25" s="7" t="s">
        <v>122</v>
      </c>
      <c r="B25" s="1">
        <v>200</v>
      </c>
    </row>
    <row r="26" spans="1:6" x14ac:dyDescent="0.3">
      <c r="A26" s="7" t="s">
        <v>111</v>
      </c>
      <c r="B26" s="6">
        <v>10</v>
      </c>
    </row>
    <row r="27" spans="1:6" x14ac:dyDescent="0.3">
      <c r="A27" s="7" t="s">
        <v>285</v>
      </c>
      <c r="B27" s="6">
        <v>2.5</v>
      </c>
      <c r="C27" s="4" t="s">
        <v>286</v>
      </c>
      <c r="F27"/>
    </row>
    <row r="29" spans="1:6" x14ac:dyDescent="0.3">
      <c r="A29" s="4" t="s">
        <v>398</v>
      </c>
      <c r="E29"/>
    </row>
    <row r="30" spans="1:6" x14ac:dyDescent="0.3">
      <c r="A30" s="14" t="s">
        <v>290</v>
      </c>
      <c r="B30" s="6">
        <f>B23</f>
        <v>2</v>
      </c>
      <c r="C30" s="4" t="s">
        <v>12</v>
      </c>
      <c r="E30"/>
    </row>
    <row r="31" spans="1:6" x14ac:dyDescent="0.3">
      <c r="A31" s="14" t="s">
        <v>69</v>
      </c>
      <c r="B31" s="6">
        <f>B30/B24</f>
        <v>0.02</v>
      </c>
      <c r="C31" s="4" t="s">
        <v>289</v>
      </c>
    </row>
    <row r="32" spans="1:6" x14ac:dyDescent="0.3">
      <c r="A32" s="14" t="s">
        <v>287</v>
      </c>
      <c r="B32" s="6">
        <f>B30+B27</f>
        <v>4.5</v>
      </c>
      <c r="C32" s="4" t="s">
        <v>452</v>
      </c>
    </row>
    <row r="33" spans="1:3" x14ac:dyDescent="0.3">
      <c r="A33" s="14" t="s">
        <v>291</v>
      </c>
      <c r="B33" s="6">
        <f>B26-B31*B25</f>
        <v>6</v>
      </c>
      <c r="C33" s="4" t="s">
        <v>292</v>
      </c>
    </row>
  </sheetData>
  <hyperlinks>
    <hyperlink ref="A2" r:id="rId1" xr:uid="{EBAF95A1-991E-49E1-8F28-56A9ED03DC97}"/>
  </hyperlinks>
  <pageMargins left="0.7" right="0.7" top="0.75" bottom="0.75" header="0.3" footer="0.3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C7C9B-63BB-46DA-84E0-1F87CFCA9CAA}">
  <sheetPr codeName="Sheet25"/>
  <dimension ref="A1:F43"/>
  <sheetViews>
    <sheetView zoomScale="85" zoomScaleNormal="85" workbookViewId="0">
      <selection activeCell="K17" sqref="K17"/>
    </sheetView>
  </sheetViews>
  <sheetFormatPr defaultColWidth="8.77734375" defaultRowHeight="14.4" x14ac:dyDescent="0.3"/>
  <cols>
    <col min="1" max="1" width="12.21875" style="1" customWidth="1"/>
    <col min="2" max="2" width="11.77734375" style="1" customWidth="1"/>
    <col min="3" max="3" width="8.77734375" style="4"/>
    <col min="4" max="16384" width="8.77734375" style="1"/>
  </cols>
  <sheetData>
    <row r="1" spans="1:5" ht="18" x14ac:dyDescent="0.35">
      <c r="A1" s="2" t="s">
        <v>361</v>
      </c>
    </row>
    <row r="2" spans="1:5" x14ac:dyDescent="0.3">
      <c r="A2" s="3" t="s">
        <v>2</v>
      </c>
      <c r="D2" s="9"/>
      <c r="E2" s="4" t="s">
        <v>17</v>
      </c>
    </row>
    <row r="3" spans="1:5" x14ac:dyDescent="0.3">
      <c r="D3" s="15"/>
      <c r="E3" s="10" t="s">
        <v>18</v>
      </c>
    </row>
    <row r="4" spans="1:5" x14ac:dyDescent="0.3">
      <c r="D4" s="10"/>
      <c r="E4" s="10"/>
    </row>
    <row r="5" spans="1:5" x14ac:dyDescent="0.3">
      <c r="B5"/>
      <c r="D5" s="10"/>
      <c r="E5" s="10"/>
    </row>
    <row r="6" spans="1:5" x14ac:dyDescent="0.3">
      <c r="D6" s="10"/>
      <c r="E6" s="10"/>
    </row>
    <row r="7" spans="1:5" x14ac:dyDescent="0.3">
      <c r="D7" s="10"/>
      <c r="E7" s="10"/>
    </row>
    <row r="8" spans="1:5" x14ac:dyDescent="0.3">
      <c r="B8"/>
      <c r="D8" s="10"/>
      <c r="E8" s="10"/>
    </row>
    <row r="9" spans="1:5" x14ac:dyDescent="0.3">
      <c r="D9" s="10"/>
      <c r="E9" s="10"/>
    </row>
    <row r="10" spans="1:5" x14ac:dyDescent="0.3">
      <c r="D10" s="10"/>
      <c r="E10" s="10"/>
    </row>
    <row r="11" spans="1:5" x14ac:dyDescent="0.3">
      <c r="D11" s="10"/>
      <c r="E11" s="10"/>
    </row>
    <row r="12" spans="1:5" x14ac:dyDescent="0.3">
      <c r="D12" s="10"/>
      <c r="E12" s="10"/>
    </row>
    <row r="20" spans="1:6" x14ac:dyDescent="0.3">
      <c r="A20" s="4" t="s">
        <v>295</v>
      </c>
      <c r="E20"/>
    </row>
    <row r="21" spans="1:6" x14ac:dyDescent="0.3">
      <c r="A21" s="7" t="s">
        <v>297</v>
      </c>
      <c r="B21" s="22">
        <v>1E-8</v>
      </c>
      <c r="C21" s="4" t="s">
        <v>294</v>
      </c>
      <c r="F21"/>
    </row>
    <row r="22" spans="1:6" x14ac:dyDescent="0.3">
      <c r="A22" s="7" t="s">
        <v>453</v>
      </c>
      <c r="B22" s="11">
        <v>25</v>
      </c>
      <c r="C22" s="4" t="s">
        <v>303</v>
      </c>
      <c r="F22"/>
    </row>
    <row r="23" spans="1:6" x14ac:dyDescent="0.3">
      <c r="A23" s="7" t="s">
        <v>60</v>
      </c>
      <c r="B23" s="5">
        <v>10</v>
      </c>
      <c r="C23" s="4" t="s">
        <v>456</v>
      </c>
      <c r="F23"/>
    </row>
    <row r="24" spans="1:6" x14ac:dyDescent="0.3">
      <c r="B24" s="5"/>
      <c r="F24"/>
    </row>
    <row r="25" spans="1:6" x14ac:dyDescent="0.3">
      <c r="A25" s="4" t="s">
        <v>306</v>
      </c>
      <c r="E25"/>
    </row>
    <row r="26" spans="1:6" x14ac:dyDescent="0.3">
      <c r="A26" s="7" t="s">
        <v>454</v>
      </c>
      <c r="B26" s="1">
        <v>55</v>
      </c>
      <c r="C26" s="4" t="s">
        <v>347</v>
      </c>
      <c r="F26"/>
    </row>
    <row r="27" spans="1:6" x14ac:dyDescent="0.3">
      <c r="A27" s="14" t="s">
        <v>298</v>
      </c>
      <c r="B27" s="22">
        <f>B21*2^((B26-B22)/B23)</f>
        <v>8.0000000000000002E-8</v>
      </c>
      <c r="C27" s="4" t="s">
        <v>299</v>
      </c>
    </row>
    <row r="28" spans="1:6" x14ac:dyDescent="0.3">
      <c r="B28" s="22"/>
    </row>
    <row r="29" spans="1:6" x14ac:dyDescent="0.3">
      <c r="A29" s="4" t="s">
        <v>399</v>
      </c>
    </row>
    <row r="30" spans="1:6" x14ac:dyDescent="0.3">
      <c r="A30" s="7" t="s">
        <v>0</v>
      </c>
      <c r="B30" s="1">
        <v>10000</v>
      </c>
      <c r="C30" s="4" t="s">
        <v>300</v>
      </c>
    </row>
    <row r="31" spans="1:6" x14ac:dyDescent="0.3">
      <c r="A31" s="14" t="s">
        <v>302</v>
      </c>
      <c r="B31" s="12">
        <f>B27*B30</f>
        <v>8.0000000000000004E-4</v>
      </c>
      <c r="C31" s="4" t="s">
        <v>301</v>
      </c>
    </row>
    <row r="34" spans="1:6" x14ac:dyDescent="0.3">
      <c r="A34" s="4" t="s">
        <v>414</v>
      </c>
    </row>
    <row r="35" spans="1:6" x14ac:dyDescent="0.3">
      <c r="A35" s="7" t="s">
        <v>453</v>
      </c>
      <c r="B35" s="11">
        <v>25</v>
      </c>
      <c r="C35" s="4" t="s">
        <v>303</v>
      </c>
      <c r="F35"/>
    </row>
    <row r="36" spans="1:6" x14ac:dyDescent="0.3">
      <c r="A36" s="7" t="s">
        <v>297</v>
      </c>
      <c r="B36" s="22">
        <v>1E-8</v>
      </c>
      <c r="C36" s="4" t="s">
        <v>294</v>
      </c>
      <c r="F36"/>
    </row>
    <row r="37" spans="1:6" x14ac:dyDescent="0.3">
      <c r="B37" s="22"/>
      <c r="F37"/>
    </row>
    <row r="38" spans="1:6" x14ac:dyDescent="0.3">
      <c r="A38" s="7" t="s">
        <v>454</v>
      </c>
      <c r="B38" s="1">
        <v>55</v>
      </c>
      <c r="C38" s="4" t="s">
        <v>304</v>
      </c>
      <c r="F38"/>
    </row>
    <row r="39" spans="1:6" x14ac:dyDescent="0.3">
      <c r="A39" s="7" t="s">
        <v>298</v>
      </c>
      <c r="B39" s="22">
        <v>8.0000000000000002E-8</v>
      </c>
      <c r="C39" s="4" t="s">
        <v>296</v>
      </c>
      <c r="D39" s="4"/>
    </row>
    <row r="40" spans="1:6" x14ac:dyDescent="0.3">
      <c r="B40" s="22"/>
      <c r="D40" s="4"/>
    </row>
    <row r="41" spans="1:6" x14ac:dyDescent="0.3">
      <c r="A41" s="4" t="s">
        <v>455</v>
      </c>
      <c r="B41" s="4"/>
    </row>
    <row r="42" spans="1:6" x14ac:dyDescent="0.3">
      <c r="A42" s="14" t="s">
        <v>60</v>
      </c>
      <c r="B42" s="5">
        <f>(B38-B35) / LOG(B39/B36,2)</f>
        <v>10</v>
      </c>
      <c r="C42" s="18" t="s">
        <v>457</v>
      </c>
      <c r="D42"/>
    </row>
    <row r="43" spans="1:6" x14ac:dyDescent="0.3">
      <c r="C43" s="4" t="s">
        <v>305</v>
      </c>
    </row>
  </sheetData>
  <hyperlinks>
    <hyperlink ref="A2" r:id="rId1" xr:uid="{9606E676-6B09-474C-93F9-D399535AAD87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79791-9B94-4F6E-A853-7B8B7801140D}">
  <sheetPr codeName="Sheet3"/>
  <dimension ref="A1:F37"/>
  <sheetViews>
    <sheetView zoomScale="85" zoomScaleNormal="85" workbookViewId="0">
      <selection activeCell="F34" sqref="F34"/>
    </sheetView>
  </sheetViews>
  <sheetFormatPr defaultColWidth="8.77734375" defaultRowHeight="14.4" x14ac:dyDescent="0.3"/>
  <cols>
    <col min="1" max="1" width="12.33203125" style="1" customWidth="1"/>
    <col min="2" max="2" width="11" style="1" customWidth="1"/>
    <col min="3" max="3" width="8.77734375" style="4"/>
    <col min="4" max="16384" width="8.77734375" style="1"/>
  </cols>
  <sheetData>
    <row r="1" spans="1:5" ht="18" x14ac:dyDescent="0.35">
      <c r="A1" s="2" t="s">
        <v>10</v>
      </c>
    </row>
    <row r="2" spans="1:5" x14ac:dyDescent="0.3">
      <c r="A2" s="3" t="s">
        <v>2</v>
      </c>
      <c r="D2" s="9"/>
      <c r="E2" s="4" t="s">
        <v>17</v>
      </c>
    </row>
    <row r="3" spans="1:5" x14ac:dyDescent="0.3">
      <c r="D3" s="15"/>
      <c r="E3" s="10" t="s">
        <v>18</v>
      </c>
    </row>
    <row r="4" spans="1:5" x14ac:dyDescent="0.3">
      <c r="D4" s="10"/>
      <c r="E4" s="10"/>
    </row>
    <row r="5" spans="1:5" x14ac:dyDescent="0.3">
      <c r="D5" s="10"/>
      <c r="E5" s="10"/>
    </row>
    <row r="6" spans="1:5" x14ac:dyDescent="0.3">
      <c r="D6" s="10"/>
      <c r="E6" s="10"/>
    </row>
    <row r="7" spans="1:5" x14ac:dyDescent="0.3">
      <c r="D7" s="10"/>
      <c r="E7" s="10"/>
    </row>
    <row r="8" spans="1:5" x14ac:dyDescent="0.3">
      <c r="D8" s="10"/>
      <c r="E8" s="10"/>
    </row>
    <row r="9" spans="1:5" x14ac:dyDescent="0.3">
      <c r="D9" s="10"/>
      <c r="E9" s="10"/>
    </row>
    <row r="10" spans="1:5" x14ac:dyDescent="0.3">
      <c r="D10" s="10"/>
      <c r="E10" s="10"/>
    </row>
    <row r="11" spans="1:5" x14ac:dyDescent="0.3">
      <c r="D11" s="10"/>
      <c r="E11" s="10"/>
    </row>
    <row r="12" spans="1:5" x14ac:dyDescent="0.3">
      <c r="D12" s="10"/>
      <c r="E12" s="10"/>
    </row>
    <row r="16" spans="1:5" x14ac:dyDescent="0.3">
      <c r="A16" s="4" t="s">
        <v>364</v>
      </c>
      <c r="E16"/>
    </row>
    <row r="17" spans="1:6" x14ac:dyDescent="0.3">
      <c r="A17" s="7" t="s">
        <v>0</v>
      </c>
      <c r="B17" s="1">
        <v>10000</v>
      </c>
      <c r="F17"/>
    </row>
    <row r="18" spans="1:6" x14ac:dyDescent="0.3">
      <c r="A18" s="7" t="s">
        <v>1</v>
      </c>
      <c r="B18" s="1">
        <v>30000</v>
      </c>
    </row>
    <row r="19" spans="1:6" x14ac:dyDescent="0.3">
      <c r="A19" s="14" t="s">
        <v>11</v>
      </c>
      <c r="B19" s="1">
        <f>B18/(B17+B18)</f>
        <v>0.75</v>
      </c>
      <c r="C19" s="4" t="s">
        <v>22</v>
      </c>
    </row>
    <row r="21" spans="1:6" x14ac:dyDescent="0.3">
      <c r="A21" s="4" t="s">
        <v>14</v>
      </c>
    </row>
    <row r="22" spans="1:6" x14ac:dyDescent="0.3">
      <c r="A22" s="7" t="s">
        <v>1</v>
      </c>
      <c r="B22" s="1">
        <v>30000</v>
      </c>
    </row>
    <row r="23" spans="1:6" x14ac:dyDescent="0.3">
      <c r="A23" s="7" t="s">
        <v>11</v>
      </c>
      <c r="B23" s="1">
        <v>0.75</v>
      </c>
    </row>
    <row r="24" spans="1:6" x14ac:dyDescent="0.3">
      <c r="A24" s="14" t="s">
        <v>0</v>
      </c>
      <c r="B24" s="1">
        <f>B22*(1-B23)/B23</f>
        <v>10000</v>
      </c>
      <c r="C24" s="4" t="s">
        <v>15</v>
      </c>
    </row>
    <row r="26" spans="1:6" x14ac:dyDescent="0.3">
      <c r="A26" s="4" t="s">
        <v>3</v>
      </c>
    </row>
    <row r="27" spans="1:6" x14ac:dyDescent="0.3">
      <c r="A27" s="7" t="s">
        <v>0</v>
      </c>
      <c r="B27" s="1">
        <v>10000</v>
      </c>
    </row>
    <row r="28" spans="1:6" x14ac:dyDescent="0.3">
      <c r="A28" s="7" t="s">
        <v>11</v>
      </c>
      <c r="B28" s="1">
        <v>0.75</v>
      </c>
    </row>
    <row r="29" spans="1:6" x14ac:dyDescent="0.3">
      <c r="A29" s="14" t="s">
        <v>1</v>
      </c>
      <c r="B29" s="1">
        <f>B27*B28/(1-B28)</f>
        <v>30000</v>
      </c>
      <c r="C29" s="4" t="s">
        <v>23</v>
      </c>
    </row>
    <row r="32" spans="1:6" x14ac:dyDescent="0.3">
      <c r="A32" s="4" t="s">
        <v>14</v>
      </c>
    </row>
    <row r="33" spans="1:3" x14ac:dyDescent="0.3">
      <c r="A33" s="7" t="s">
        <v>12</v>
      </c>
      <c r="B33" s="5">
        <v>10</v>
      </c>
    </row>
    <row r="34" spans="1:3" x14ac:dyDescent="0.3">
      <c r="A34" s="7" t="s">
        <v>13</v>
      </c>
      <c r="B34" s="5">
        <v>2</v>
      </c>
    </row>
    <row r="35" spans="1:3" x14ac:dyDescent="0.3">
      <c r="A35" s="7" t="s">
        <v>1</v>
      </c>
      <c r="B35" s="1">
        <v>10000</v>
      </c>
    </row>
    <row r="36" spans="1:3" x14ac:dyDescent="0.3">
      <c r="A36" s="14" t="s">
        <v>11</v>
      </c>
      <c r="B36" s="6">
        <f>B34/B33</f>
        <v>0.2</v>
      </c>
      <c r="C36" s="4" t="s">
        <v>16</v>
      </c>
    </row>
    <row r="37" spans="1:3" x14ac:dyDescent="0.3">
      <c r="A37" s="14" t="s">
        <v>0</v>
      </c>
      <c r="B37" s="1">
        <f>B35*(1-B36)/B36</f>
        <v>40000</v>
      </c>
      <c r="C37" s="4" t="s">
        <v>15</v>
      </c>
    </row>
  </sheetData>
  <conditionalFormatting sqref="D37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hyperlinks>
    <hyperlink ref="A2" r:id="rId1" xr:uid="{4099B786-FEA7-4EEB-A810-F825E62F7DAC}"/>
  </hyperlinks>
  <pageMargins left="0.7" right="0.7" top="0.75" bottom="0.75" header="0.3" footer="0.3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D1D77-F9E3-4259-98C9-482A45C82BF3}">
  <dimension ref="A1:E40"/>
  <sheetViews>
    <sheetView zoomScale="85" zoomScaleNormal="85" workbookViewId="0">
      <selection activeCell="K29" sqref="K29"/>
    </sheetView>
  </sheetViews>
  <sheetFormatPr defaultRowHeight="14.4" x14ac:dyDescent="0.3"/>
  <cols>
    <col min="1" max="1" width="9.88671875" customWidth="1"/>
    <col min="2" max="2" width="12" customWidth="1"/>
  </cols>
  <sheetData>
    <row r="1" spans="1:5" ht="18" x14ac:dyDescent="0.35">
      <c r="A1" s="8" t="s">
        <v>362</v>
      </c>
    </row>
    <row r="2" spans="1:5" x14ac:dyDescent="0.3">
      <c r="A2" s="3" t="s">
        <v>2</v>
      </c>
      <c r="D2" s="9"/>
      <c r="E2" s="4" t="s">
        <v>41</v>
      </c>
    </row>
    <row r="3" spans="1:5" x14ac:dyDescent="0.3">
      <c r="D3" s="15"/>
      <c r="E3" s="10" t="s">
        <v>42</v>
      </c>
    </row>
    <row r="20" spans="1:3" x14ac:dyDescent="0.3">
      <c r="A20" t="s">
        <v>158</v>
      </c>
    </row>
    <row r="21" spans="1:3" x14ac:dyDescent="0.3">
      <c r="A21" s="7" t="s">
        <v>315</v>
      </c>
      <c r="B21" s="11">
        <v>4000</v>
      </c>
      <c r="C21" s="4"/>
    </row>
    <row r="22" spans="1:3" x14ac:dyDescent="0.3">
      <c r="A22" s="7" t="s">
        <v>316</v>
      </c>
      <c r="B22" s="11">
        <v>8000</v>
      </c>
      <c r="C22" s="4"/>
    </row>
    <row r="23" spans="1:3" x14ac:dyDescent="0.3">
      <c r="A23" s="7" t="s">
        <v>45</v>
      </c>
      <c r="B23" s="22">
        <v>1.5E-9</v>
      </c>
      <c r="C23" s="4"/>
    </row>
    <row r="25" spans="1:3" x14ac:dyDescent="0.3">
      <c r="A25" t="s">
        <v>317</v>
      </c>
    </row>
    <row r="26" spans="1:3" x14ac:dyDescent="0.3">
      <c r="A26" s="14" t="s">
        <v>239</v>
      </c>
      <c r="B26" s="22">
        <f>0.693*(B21+B22)*B23</f>
        <v>1.2473999999999999E-5</v>
      </c>
      <c r="C26" s="4" t="s">
        <v>318</v>
      </c>
    </row>
    <row r="27" spans="1:3" x14ac:dyDescent="0.3">
      <c r="A27" s="14" t="s">
        <v>242</v>
      </c>
      <c r="B27" s="22">
        <f>0.693*(B22)*B23</f>
        <v>8.3159999999999997E-6</v>
      </c>
      <c r="C27" s="4" t="s">
        <v>323</v>
      </c>
    </row>
    <row r="29" spans="1:3" x14ac:dyDescent="0.3">
      <c r="A29" t="s">
        <v>415</v>
      </c>
    </row>
    <row r="30" spans="1:3" x14ac:dyDescent="0.3">
      <c r="A30" s="14" t="s">
        <v>319</v>
      </c>
      <c r="B30" s="22">
        <f>B26+B27</f>
        <v>2.0789999999999999E-5</v>
      </c>
      <c r="C30" s="4" t="s">
        <v>320</v>
      </c>
    </row>
    <row r="31" spans="1:3" x14ac:dyDescent="0.3">
      <c r="A31" s="14" t="s">
        <v>321</v>
      </c>
      <c r="B31" s="11">
        <f>1/B30</f>
        <v>48100.048100048101</v>
      </c>
      <c r="C31" s="4" t="s">
        <v>322</v>
      </c>
    </row>
    <row r="34" spans="1:3" x14ac:dyDescent="0.3">
      <c r="A34" t="s">
        <v>324</v>
      </c>
    </row>
    <row r="35" spans="1:3" x14ac:dyDescent="0.3">
      <c r="A35" s="7" t="s">
        <v>321</v>
      </c>
      <c r="B35" s="11">
        <v>48100</v>
      </c>
      <c r="C35" s="4"/>
    </row>
    <row r="36" spans="1:3" x14ac:dyDescent="0.3">
      <c r="A36" s="7" t="s">
        <v>315</v>
      </c>
      <c r="B36" s="11">
        <v>4000</v>
      </c>
      <c r="C36" s="4"/>
    </row>
    <row r="37" spans="1:3" x14ac:dyDescent="0.3">
      <c r="A37" s="7" t="s">
        <v>45</v>
      </c>
      <c r="B37" s="22">
        <v>1.5E-9</v>
      </c>
      <c r="C37" s="4"/>
    </row>
    <row r="38" spans="1:3" x14ac:dyDescent="0.3">
      <c r="B38" s="22"/>
      <c r="C38" s="4"/>
    </row>
    <row r="39" spans="1:3" x14ac:dyDescent="0.3">
      <c r="A39" s="14" t="s">
        <v>319</v>
      </c>
      <c r="B39" s="22">
        <f>1/B35</f>
        <v>2.079002079002079E-5</v>
      </c>
      <c r="C39" s="4" t="s">
        <v>318</v>
      </c>
    </row>
    <row r="40" spans="1:3" x14ac:dyDescent="0.3">
      <c r="A40" s="14" t="s">
        <v>316</v>
      </c>
      <c r="B40" s="11">
        <f>(B39/(0.693*B37)-B36)/2</f>
        <v>8000.010000010001</v>
      </c>
      <c r="C40" t="s">
        <v>325</v>
      </c>
    </row>
  </sheetData>
  <hyperlinks>
    <hyperlink ref="A2" r:id="rId1" xr:uid="{F42ECAF1-27A3-4610-95E4-FE8CDBE5060E}"/>
  </hyperlinks>
  <pageMargins left="0.7" right="0.7" top="0.75" bottom="0.75" header="0.3" footer="0.3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31EB3-F601-40DB-A50B-F7A810EC8EB4}">
  <sheetPr>
    <tabColor theme="9" tint="0.59999389629810485"/>
  </sheetPr>
  <dimension ref="A1:O36"/>
  <sheetViews>
    <sheetView zoomScale="85" zoomScaleNormal="85" workbookViewId="0">
      <selection activeCell="J26" sqref="J26"/>
    </sheetView>
  </sheetViews>
  <sheetFormatPr defaultRowHeight="14.4" x14ac:dyDescent="0.3"/>
  <sheetData>
    <row r="1" spans="1:2" ht="18" x14ac:dyDescent="0.35">
      <c r="A1" s="43" t="s">
        <v>430</v>
      </c>
    </row>
    <row r="2" spans="1:2" s="39" customFormat="1" ht="15.6" x14ac:dyDescent="0.3"/>
    <row r="3" spans="1:2" s="39" customFormat="1" ht="15.6" x14ac:dyDescent="0.3"/>
    <row r="4" spans="1:2" s="39" customFormat="1" ht="15.6" x14ac:dyDescent="0.3">
      <c r="A4" s="42" t="s">
        <v>431</v>
      </c>
    </row>
    <row r="5" spans="1:2" s="39" customFormat="1" ht="15.6" x14ac:dyDescent="0.3">
      <c r="B5" s="40" t="s">
        <v>432</v>
      </c>
    </row>
    <row r="6" spans="1:2" s="39" customFormat="1" ht="15.6" x14ac:dyDescent="0.3">
      <c r="B6" s="40" t="s">
        <v>416</v>
      </c>
    </row>
    <row r="7" spans="1:2" s="39" customFormat="1" ht="15.6" x14ac:dyDescent="0.3">
      <c r="B7" s="41" t="s">
        <v>421</v>
      </c>
    </row>
    <row r="8" spans="1:2" s="39" customFormat="1" ht="15.6" x14ac:dyDescent="0.3"/>
    <row r="9" spans="1:2" s="39" customFormat="1" ht="15.6" x14ac:dyDescent="0.3"/>
    <row r="10" spans="1:2" s="39" customFormat="1" ht="15.6" x14ac:dyDescent="0.3"/>
    <row r="11" spans="1:2" s="39" customFormat="1" ht="15.6" x14ac:dyDescent="0.3"/>
    <row r="12" spans="1:2" s="39" customFormat="1" ht="15.6" x14ac:dyDescent="0.3"/>
    <row r="13" spans="1:2" s="39" customFormat="1" ht="15.6" x14ac:dyDescent="0.3"/>
    <row r="14" spans="1:2" s="39" customFormat="1" ht="15.6" x14ac:dyDescent="0.3"/>
    <row r="15" spans="1:2" s="39" customFormat="1" ht="15.6" x14ac:dyDescent="0.3"/>
    <row r="16" spans="1:2" s="39" customFormat="1" ht="15.6" x14ac:dyDescent="0.3"/>
    <row r="17" spans="1:2" s="39" customFormat="1" ht="15.6" x14ac:dyDescent="0.3">
      <c r="A17" s="42" t="s">
        <v>417</v>
      </c>
    </row>
    <row r="18" spans="1:2" s="39" customFormat="1" ht="15.6" x14ac:dyDescent="0.3">
      <c r="B18" s="40" t="s">
        <v>428</v>
      </c>
    </row>
    <row r="19" spans="1:2" s="39" customFormat="1" ht="15.6" x14ac:dyDescent="0.3">
      <c r="B19" s="41" t="s">
        <v>422</v>
      </c>
    </row>
    <row r="20" spans="1:2" s="39" customFormat="1" ht="15.6" x14ac:dyDescent="0.3"/>
    <row r="21" spans="1:2" s="39" customFormat="1" ht="15.6" x14ac:dyDescent="0.3">
      <c r="A21" s="42" t="s">
        <v>418</v>
      </c>
    </row>
    <row r="22" spans="1:2" s="39" customFormat="1" ht="15.6" x14ac:dyDescent="0.3">
      <c r="B22" s="40" t="s">
        <v>429</v>
      </c>
    </row>
    <row r="23" spans="1:2" s="39" customFormat="1" ht="15.6" x14ac:dyDescent="0.3">
      <c r="B23" s="41" t="s">
        <v>423</v>
      </c>
    </row>
    <row r="24" spans="1:2" s="39" customFormat="1" ht="15.6" x14ac:dyDescent="0.3"/>
    <row r="25" spans="1:2" s="39" customFormat="1" ht="15.6" x14ac:dyDescent="0.3">
      <c r="A25" s="42" t="s">
        <v>424</v>
      </c>
    </row>
    <row r="26" spans="1:2" s="39" customFormat="1" ht="15.6" x14ac:dyDescent="0.3">
      <c r="B26" s="40" t="s">
        <v>425</v>
      </c>
    </row>
    <row r="27" spans="1:2" s="39" customFormat="1" ht="15.6" x14ac:dyDescent="0.3">
      <c r="B27" s="41" t="s">
        <v>426</v>
      </c>
    </row>
    <row r="28" spans="1:2" s="39" customFormat="1" ht="15.6" x14ac:dyDescent="0.3"/>
    <row r="29" spans="1:2" s="39" customFormat="1" ht="15.6" x14ac:dyDescent="0.3">
      <c r="A29" s="42" t="s">
        <v>419</v>
      </c>
    </row>
    <row r="30" spans="1:2" s="39" customFormat="1" ht="15.6" x14ac:dyDescent="0.3">
      <c r="B30" s="40" t="s">
        <v>420</v>
      </c>
    </row>
    <row r="31" spans="1:2" s="39" customFormat="1" ht="15.6" x14ac:dyDescent="0.3">
      <c r="B31" s="41" t="s">
        <v>427</v>
      </c>
    </row>
    <row r="32" spans="1:2" s="39" customFormat="1" ht="15.6" x14ac:dyDescent="0.3"/>
    <row r="33" spans="15:15" s="39" customFormat="1" ht="15.6" x14ac:dyDescent="0.3"/>
    <row r="34" spans="15:15" s="39" customFormat="1" ht="15.6" x14ac:dyDescent="0.3"/>
    <row r="35" spans="15:15" ht="15.6" x14ac:dyDescent="0.3">
      <c r="O35" s="39"/>
    </row>
    <row r="36" spans="15:15" ht="15.6" x14ac:dyDescent="0.3">
      <c r="O36" s="39"/>
    </row>
  </sheetData>
  <hyperlinks>
    <hyperlink ref="B7" r:id="rId1" xr:uid="{3233329C-9ED3-4FD0-853D-71C8A7EE9FFF}"/>
    <hyperlink ref="B27" r:id="rId2" xr:uid="{C270A922-509B-4FD2-B1C6-C0CD7581A8EB}"/>
    <hyperlink ref="B23" r:id="rId3" xr:uid="{139E6770-13CE-4CEC-9ABA-989FE1518991}"/>
    <hyperlink ref="B19" r:id="rId4" xr:uid="{F485A449-1B1E-4A28-8051-E55BCFDBD4BD}"/>
    <hyperlink ref="B31" r:id="rId5" xr:uid="{F734AF62-8927-447D-8543-74FDBE92560E}"/>
  </hyperlinks>
  <pageMargins left="0.7" right="0.7" top="0.75" bottom="0.75" header="0.3" footer="0.3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92E03-EF63-47FC-81D6-28E3E99B1891}">
  <dimension ref="A1:E37"/>
  <sheetViews>
    <sheetView zoomScale="85" zoomScaleNormal="85" workbookViewId="0">
      <selection activeCell="G8" sqref="G8"/>
    </sheetView>
  </sheetViews>
  <sheetFormatPr defaultRowHeight="14.4" x14ac:dyDescent="0.3"/>
  <cols>
    <col min="1" max="1" width="11.21875" customWidth="1"/>
    <col min="2" max="2" width="12" customWidth="1"/>
  </cols>
  <sheetData>
    <row r="1" spans="1:5" ht="18" x14ac:dyDescent="0.35">
      <c r="A1" s="8" t="s">
        <v>24</v>
      </c>
    </row>
    <row r="2" spans="1:5" x14ac:dyDescent="0.3">
      <c r="A2" s="3" t="s">
        <v>2</v>
      </c>
      <c r="D2" s="9"/>
      <c r="E2" s="4" t="s">
        <v>41</v>
      </c>
    </row>
    <row r="3" spans="1:5" x14ac:dyDescent="0.3">
      <c r="D3" s="15"/>
      <c r="E3" s="10" t="s">
        <v>42</v>
      </c>
    </row>
    <row r="5" spans="1:5" x14ac:dyDescent="0.3">
      <c r="A5" t="s">
        <v>25</v>
      </c>
    </row>
    <row r="6" spans="1:5" x14ac:dyDescent="0.3">
      <c r="A6" s="9" t="s">
        <v>26</v>
      </c>
      <c r="B6" s="1">
        <v>1.0000000000000001E-5</v>
      </c>
    </row>
    <row r="7" spans="1:5" x14ac:dyDescent="0.3">
      <c r="A7" s="15" t="s">
        <v>27</v>
      </c>
      <c r="B7" s="1">
        <f>B6*100</f>
        <v>1E-3</v>
      </c>
      <c r="C7" t="s">
        <v>28</v>
      </c>
    </row>
    <row r="8" spans="1:5" x14ac:dyDescent="0.3">
      <c r="A8" s="15" t="s">
        <v>29</v>
      </c>
      <c r="B8" s="5">
        <f>B6*1000000</f>
        <v>10</v>
      </c>
      <c r="C8" t="s">
        <v>30</v>
      </c>
    </row>
    <row r="10" spans="1:5" x14ac:dyDescent="0.3">
      <c r="A10" t="s">
        <v>31</v>
      </c>
    </row>
    <row r="11" spans="1:5" x14ac:dyDescent="0.3">
      <c r="A11" s="9" t="s">
        <v>29</v>
      </c>
      <c r="B11" s="5">
        <v>5</v>
      </c>
    </row>
    <row r="12" spans="1:5" x14ac:dyDescent="0.3">
      <c r="A12" s="15" t="s">
        <v>26</v>
      </c>
      <c r="B12" s="1">
        <f>B11/1000000</f>
        <v>5.0000000000000004E-6</v>
      </c>
      <c r="C12" t="s">
        <v>32</v>
      </c>
    </row>
    <row r="13" spans="1:5" x14ac:dyDescent="0.3">
      <c r="A13" s="15" t="s">
        <v>27</v>
      </c>
      <c r="B13" s="1">
        <f>B12*100</f>
        <v>5.0000000000000001E-4</v>
      </c>
      <c r="C13" t="s">
        <v>28</v>
      </c>
    </row>
    <row r="16" spans="1:5" x14ac:dyDescent="0.3">
      <c r="A16" s="35" t="s">
        <v>537</v>
      </c>
    </row>
    <row r="17" spans="1:3" x14ac:dyDescent="0.3">
      <c r="A17" t="s">
        <v>534</v>
      </c>
    </row>
    <row r="18" spans="1:3" x14ac:dyDescent="0.3">
      <c r="A18" s="9" t="s">
        <v>35</v>
      </c>
      <c r="B18" s="11">
        <v>10</v>
      </c>
      <c r="C18" t="s">
        <v>39</v>
      </c>
    </row>
    <row r="19" spans="1:3" x14ac:dyDescent="0.3">
      <c r="A19" s="15" t="s">
        <v>26</v>
      </c>
      <c r="B19" s="12">
        <f>1/2^B18</f>
        <v>9.765625E-4</v>
      </c>
      <c r="C19" t="s">
        <v>40</v>
      </c>
    </row>
    <row r="20" spans="1:3" x14ac:dyDescent="0.3">
      <c r="A20" s="15" t="s">
        <v>532</v>
      </c>
      <c r="B20" s="5">
        <f>20*LOG10(B19)</f>
        <v>-60.205999132796244</v>
      </c>
      <c r="C20" t="s">
        <v>533</v>
      </c>
    </row>
    <row r="21" spans="1:3" x14ac:dyDescent="0.3">
      <c r="A21" s="15" t="s">
        <v>27</v>
      </c>
      <c r="B21" s="52">
        <f>B19*100</f>
        <v>9.765625E-2</v>
      </c>
      <c r="C21" t="s">
        <v>37</v>
      </c>
    </row>
    <row r="22" spans="1:3" x14ac:dyDescent="0.3">
      <c r="A22" s="15" t="s">
        <v>29</v>
      </c>
      <c r="B22" s="11">
        <f>B19*1000000</f>
        <v>976.5625</v>
      </c>
      <c r="C22" t="s">
        <v>38</v>
      </c>
    </row>
    <row r="25" spans="1:3" x14ac:dyDescent="0.3">
      <c r="A25" t="s">
        <v>535</v>
      </c>
    </row>
    <row r="26" spans="1:3" x14ac:dyDescent="0.3">
      <c r="A26" s="9" t="s">
        <v>26</v>
      </c>
      <c r="B26" s="1">
        <v>1E-3</v>
      </c>
      <c r="C26" t="s">
        <v>34</v>
      </c>
    </row>
    <row r="27" spans="1:3" x14ac:dyDescent="0.3">
      <c r="A27" s="15" t="s">
        <v>532</v>
      </c>
      <c r="B27" s="5">
        <f>20*LOG10(B26)</f>
        <v>-60</v>
      </c>
      <c r="C27" t="s">
        <v>533</v>
      </c>
    </row>
    <row r="28" spans="1:3" x14ac:dyDescent="0.3">
      <c r="A28" s="15" t="s">
        <v>27</v>
      </c>
      <c r="B28" s="6">
        <f>B26*100</f>
        <v>0.1</v>
      </c>
      <c r="C28" t="s">
        <v>37</v>
      </c>
    </row>
    <row r="29" spans="1:3" x14ac:dyDescent="0.3">
      <c r="A29" s="15" t="s">
        <v>29</v>
      </c>
      <c r="B29" s="11">
        <f>B26*1000000</f>
        <v>1000</v>
      </c>
      <c r="C29" t="s">
        <v>38</v>
      </c>
    </row>
    <row r="30" spans="1:3" x14ac:dyDescent="0.3">
      <c r="A30" s="15" t="s">
        <v>35</v>
      </c>
      <c r="B30" s="11">
        <f>-LOG(B26)/LOG(2)</f>
        <v>9.965784284662087</v>
      </c>
      <c r="C30" t="s">
        <v>36</v>
      </c>
    </row>
    <row r="32" spans="1:3" x14ac:dyDescent="0.3">
      <c r="A32" t="s">
        <v>33</v>
      </c>
    </row>
    <row r="33" spans="1:3" x14ac:dyDescent="0.3">
      <c r="A33" s="9" t="s">
        <v>532</v>
      </c>
      <c r="B33" s="5">
        <v>-60</v>
      </c>
    </row>
    <row r="34" spans="1:3" x14ac:dyDescent="0.3">
      <c r="A34" s="15" t="s">
        <v>26</v>
      </c>
      <c r="B34" s="1">
        <f>10^(B33/20)</f>
        <v>1E-3</v>
      </c>
      <c r="C34" t="s">
        <v>536</v>
      </c>
    </row>
    <row r="35" spans="1:3" x14ac:dyDescent="0.3">
      <c r="A35" s="15" t="s">
        <v>27</v>
      </c>
      <c r="B35" s="6">
        <f>B34*100</f>
        <v>0.1</v>
      </c>
      <c r="C35" t="s">
        <v>37</v>
      </c>
    </row>
    <row r="36" spans="1:3" x14ac:dyDescent="0.3">
      <c r="A36" s="15" t="s">
        <v>29</v>
      </c>
      <c r="B36" s="11">
        <f>B34*1000000</f>
        <v>1000</v>
      </c>
      <c r="C36" t="s">
        <v>38</v>
      </c>
    </row>
    <row r="37" spans="1:3" x14ac:dyDescent="0.3">
      <c r="A37" s="15" t="s">
        <v>35</v>
      </c>
      <c r="B37" s="11">
        <f>-LOG(B34)/LOG(2)</f>
        <v>9.965784284662087</v>
      </c>
      <c r="C37" t="s">
        <v>36</v>
      </c>
    </row>
  </sheetData>
  <hyperlinks>
    <hyperlink ref="A2" r:id="rId1" xr:uid="{0F895701-A3A9-4A3D-A3C1-E736C38FD33F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F8A24-F511-471D-85FB-DD768705B814}">
  <sheetPr codeName="Sheet5"/>
  <dimension ref="A1:E53"/>
  <sheetViews>
    <sheetView zoomScale="85" zoomScaleNormal="85" workbookViewId="0">
      <selection activeCell="L41" sqref="L41"/>
    </sheetView>
  </sheetViews>
  <sheetFormatPr defaultRowHeight="14.4" x14ac:dyDescent="0.3"/>
  <cols>
    <col min="1" max="1" width="13.88671875" customWidth="1"/>
    <col min="2" max="2" width="15.21875" customWidth="1"/>
  </cols>
  <sheetData>
    <row r="1" spans="1:5" ht="18" x14ac:dyDescent="0.35">
      <c r="A1" s="8" t="s">
        <v>43</v>
      </c>
    </row>
    <row r="2" spans="1:5" x14ac:dyDescent="0.3">
      <c r="A2" s="3" t="s">
        <v>2</v>
      </c>
      <c r="D2" s="9"/>
      <c r="E2" s="4" t="s">
        <v>41</v>
      </c>
    </row>
    <row r="3" spans="1:5" x14ac:dyDescent="0.3">
      <c r="D3" s="15"/>
      <c r="E3" s="10" t="s">
        <v>42</v>
      </c>
    </row>
    <row r="15" spans="1:5" x14ac:dyDescent="0.3">
      <c r="A15" t="s">
        <v>363</v>
      </c>
    </row>
    <row r="16" spans="1:5" x14ac:dyDescent="0.3">
      <c r="A16" s="7" t="s">
        <v>44</v>
      </c>
      <c r="B16" s="44">
        <v>10000</v>
      </c>
      <c r="C16" s="4"/>
    </row>
    <row r="17" spans="1:3" x14ac:dyDescent="0.3">
      <c r="A17" s="7" t="s">
        <v>45</v>
      </c>
      <c r="B17" s="22">
        <v>1.5E-9</v>
      </c>
      <c r="C17" s="4"/>
    </row>
    <row r="18" spans="1:3" x14ac:dyDescent="0.3">
      <c r="A18" s="14" t="s">
        <v>47</v>
      </c>
      <c r="B18" s="44">
        <f>1/(2*PI()*B16*B17)</f>
        <v>10610.32953945969</v>
      </c>
      <c r="C18" s="4" t="s">
        <v>46</v>
      </c>
    </row>
    <row r="20" spans="1:3" x14ac:dyDescent="0.3">
      <c r="A20" t="s">
        <v>48</v>
      </c>
    </row>
    <row r="21" spans="1:3" x14ac:dyDescent="0.3">
      <c r="A21" s="7" t="s">
        <v>44</v>
      </c>
      <c r="B21" s="44">
        <v>10000</v>
      </c>
      <c r="C21" s="4"/>
    </row>
    <row r="22" spans="1:3" x14ac:dyDescent="0.3">
      <c r="A22" s="7" t="s">
        <v>47</v>
      </c>
      <c r="B22" s="44">
        <v>10610</v>
      </c>
      <c r="C22" s="4"/>
    </row>
    <row r="23" spans="1:3" x14ac:dyDescent="0.3">
      <c r="A23" s="14" t="s">
        <v>45</v>
      </c>
      <c r="B23" s="22">
        <f>1/(2*PI()*B21*B22)</f>
        <v>1.500046588990531E-9</v>
      </c>
      <c r="C23" s="4" t="s">
        <v>49</v>
      </c>
    </row>
    <row r="27" spans="1:3" x14ac:dyDescent="0.3">
      <c r="A27" t="s">
        <v>513</v>
      </c>
    </row>
    <row r="28" spans="1:3" x14ac:dyDescent="0.3">
      <c r="A28" s="7" t="s">
        <v>44</v>
      </c>
      <c r="B28" s="44">
        <v>10000</v>
      </c>
      <c r="C28" s="4"/>
    </row>
    <row r="29" spans="1:3" x14ac:dyDescent="0.3">
      <c r="A29" s="7" t="s">
        <v>45</v>
      </c>
      <c r="B29" s="22">
        <v>1.5E-9</v>
      </c>
      <c r="C29" s="4"/>
    </row>
    <row r="30" spans="1:3" x14ac:dyDescent="0.3">
      <c r="A30" s="1"/>
      <c r="B30" s="22"/>
      <c r="C30" s="4"/>
    </row>
    <row r="31" spans="1:3" x14ac:dyDescent="0.3">
      <c r="A31" s="4" t="s">
        <v>527</v>
      </c>
      <c r="B31" s="22"/>
      <c r="C31" s="4"/>
    </row>
    <row r="32" spans="1:3" x14ac:dyDescent="0.3">
      <c r="A32" s="14" t="s">
        <v>55</v>
      </c>
      <c r="B32" s="13">
        <f>B28*B29</f>
        <v>1.5E-5</v>
      </c>
      <c r="C32" t="s">
        <v>51</v>
      </c>
    </row>
    <row r="33" spans="1:3" x14ac:dyDescent="0.3">
      <c r="A33" s="14" t="s">
        <v>47</v>
      </c>
      <c r="B33" s="44">
        <f>1/(2*PI()*B28*B29)</f>
        <v>10610.32953945969</v>
      </c>
      <c r="C33" s="4" t="s">
        <v>46</v>
      </c>
    </row>
    <row r="34" spans="1:3" x14ac:dyDescent="0.3">
      <c r="A34" s="1"/>
      <c r="B34" s="22"/>
      <c r="C34" s="4"/>
    </row>
    <row r="35" spans="1:3" x14ac:dyDescent="0.3">
      <c r="A35" s="4" t="s">
        <v>528</v>
      </c>
      <c r="B35" s="22"/>
      <c r="C35" s="4"/>
    </row>
    <row r="36" spans="1:3" x14ac:dyDescent="0.3">
      <c r="A36" s="14" t="s">
        <v>50</v>
      </c>
      <c r="B36" s="13">
        <f>B32</f>
        <v>1.5E-5</v>
      </c>
      <c r="C36" t="s">
        <v>55</v>
      </c>
    </row>
    <row r="37" spans="1:3" x14ac:dyDescent="0.3">
      <c r="A37" s="14" t="s">
        <v>52</v>
      </c>
      <c r="B37" s="13">
        <f>2.2*B36</f>
        <v>3.3000000000000003E-5</v>
      </c>
      <c r="C37" t="s">
        <v>53</v>
      </c>
    </row>
    <row r="39" spans="1:3" x14ac:dyDescent="0.3">
      <c r="A39" t="s">
        <v>529</v>
      </c>
      <c r="B39" s="13"/>
    </row>
    <row r="40" spans="1:3" x14ac:dyDescent="0.3">
      <c r="A40" s="14" t="s">
        <v>54</v>
      </c>
      <c r="B40" s="13">
        <f>-LN(1/100)/LN(EXP(1))*B32</f>
        <v>6.9077552789821367E-5</v>
      </c>
      <c r="C40" s="18" t="s">
        <v>509</v>
      </c>
    </row>
    <row r="41" spans="1:3" x14ac:dyDescent="0.3">
      <c r="A41" s="14" t="s">
        <v>56</v>
      </c>
      <c r="B41" s="13">
        <f>-LN(0.1/100)/LN(EXP(1))*B32</f>
        <v>1.0361632918473205E-4</v>
      </c>
      <c r="C41" s="18" t="s">
        <v>510</v>
      </c>
    </row>
    <row r="43" spans="1:3" x14ac:dyDescent="0.3">
      <c r="A43" t="s">
        <v>530</v>
      </c>
      <c r="B43" s="13"/>
    </row>
    <row r="44" spans="1:3" x14ac:dyDescent="0.3">
      <c r="A44" s="7" t="s">
        <v>503</v>
      </c>
      <c r="B44" s="52">
        <v>1E-3</v>
      </c>
    </row>
    <row r="45" spans="1:3" x14ac:dyDescent="0.3">
      <c r="A45" s="14" t="s">
        <v>504</v>
      </c>
      <c r="B45" s="13">
        <f>-LN(B44/100)/LN(EXP(1))*B32</f>
        <v>1.7269388197455344E-4</v>
      </c>
      <c r="C45" s="18" t="s">
        <v>505</v>
      </c>
    </row>
    <row r="47" spans="1:3" x14ac:dyDescent="0.3">
      <c r="A47" t="s">
        <v>506</v>
      </c>
      <c r="B47" s="13"/>
    </row>
    <row r="48" spans="1:3" x14ac:dyDescent="0.3">
      <c r="A48" s="7" t="s">
        <v>458</v>
      </c>
      <c r="B48" s="13">
        <v>1.7000000000000001E-4</v>
      </c>
      <c r="C48" s="18" t="s">
        <v>460</v>
      </c>
    </row>
    <row r="49" spans="1:3" x14ac:dyDescent="0.3">
      <c r="A49" s="7" t="s">
        <v>503</v>
      </c>
      <c r="B49" s="21">
        <v>1E-3</v>
      </c>
      <c r="C49" s="18" t="s">
        <v>508</v>
      </c>
    </row>
    <row r="50" spans="1:3" x14ac:dyDescent="0.3">
      <c r="B50" s="12"/>
      <c r="C50" s="18"/>
    </row>
    <row r="51" spans="1:3" x14ac:dyDescent="0.3">
      <c r="A51" t="s">
        <v>468</v>
      </c>
      <c r="B51" s="12"/>
      <c r="C51" s="18"/>
    </row>
    <row r="52" spans="1:3" x14ac:dyDescent="0.3">
      <c r="A52" s="14" t="s">
        <v>55</v>
      </c>
      <c r="B52" s="22">
        <f>-LN(EXP(1))/LN(B49/100)*B48</f>
        <v>1.4766012384710562E-5</v>
      </c>
      <c r="C52" s="18" t="s">
        <v>507</v>
      </c>
    </row>
    <row r="53" spans="1:3" x14ac:dyDescent="0.3">
      <c r="A53" s="14" t="s">
        <v>47</v>
      </c>
      <c r="B53" s="44">
        <f>1/(2*PI()*B52)</f>
        <v>10778.464689403349</v>
      </c>
      <c r="C53" s="4" t="s">
        <v>459</v>
      </c>
    </row>
  </sheetData>
  <hyperlinks>
    <hyperlink ref="A2" r:id="rId1" xr:uid="{4B67211E-9131-4D66-9EBC-7E2E5BFAA7B9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D2C1-59E8-4812-BA02-0C310633E864}">
  <dimension ref="A1:J49"/>
  <sheetViews>
    <sheetView zoomScale="85" zoomScaleNormal="85" workbookViewId="0">
      <selection activeCell="A39" sqref="A39"/>
    </sheetView>
  </sheetViews>
  <sheetFormatPr defaultRowHeight="14.4" x14ac:dyDescent="0.3"/>
  <cols>
    <col min="1" max="1" width="13.88671875" customWidth="1"/>
    <col min="2" max="2" width="15.21875" customWidth="1"/>
  </cols>
  <sheetData>
    <row r="1" spans="1:6" ht="18" x14ac:dyDescent="0.35">
      <c r="A1" s="8" t="s">
        <v>469</v>
      </c>
    </row>
    <row r="2" spans="1:6" x14ac:dyDescent="0.3">
      <c r="A2" s="3" t="s">
        <v>2</v>
      </c>
    </row>
    <row r="15" spans="1:6" x14ac:dyDescent="0.3">
      <c r="A15" t="s">
        <v>489</v>
      </c>
      <c r="E15" s="9"/>
      <c r="F15" s="4" t="s">
        <v>41</v>
      </c>
    </row>
    <row r="16" spans="1:6" x14ac:dyDescent="0.3">
      <c r="A16" s="7" t="s">
        <v>44</v>
      </c>
      <c r="B16" s="44">
        <v>100000</v>
      </c>
      <c r="C16" s="4"/>
      <c r="E16" s="15"/>
      <c r="F16" s="10" t="s">
        <v>42</v>
      </c>
    </row>
    <row r="17" spans="1:10" x14ac:dyDescent="0.3">
      <c r="A17" s="7" t="s">
        <v>45</v>
      </c>
      <c r="B17" s="22">
        <v>1.5900000000000001E-9</v>
      </c>
      <c r="C17" s="4"/>
    </row>
    <row r="18" spans="1:10" x14ac:dyDescent="0.3">
      <c r="A18" s="14" t="s">
        <v>47</v>
      </c>
      <c r="B18" s="44">
        <f>1/(2*PI()*B16*B17)</f>
        <v>1000.9744848546877</v>
      </c>
      <c r="C18" s="4" t="s">
        <v>46</v>
      </c>
    </row>
    <row r="20" spans="1:10" x14ac:dyDescent="0.3">
      <c r="A20" s="22"/>
      <c r="B20" s="22"/>
      <c r="C20" s="4"/>
    </row>
    <row r="21" spans="1:10" x14ac:dyDescent="0.3">
      <c r="A21" t="s">
        <v>484</v>
      </c>
      <c r="B21" s="13"/>
    </row>
    <row r="22" spans="1:10" x14ac:dyDescent="0.3">
      <c r="A22" s="7" t="s">
        <v>485</v>
      </c>
      <c r="B22" s="44">
        <v>1000000</v>
      </c>
      <c r="H22" s="47"/>
      <c r="I22" s="27"/>
      <c r="J22" s="27"/>
    </row>
    <row r="23" spans="1:10" x14ac:dyDescent="0.3">
      <c r="A23" s="14" t="s">
        <v>483</v>
      </c>
      <c r="B23" s="22">
        <f>1/(SQRT(1+(B22/B18)^2))</f>
        <v>1.0009739833919122E-3</v>
      </c>
      <c r="C23" s="47" t="s">
        <v>491</v>
      </c>
      <c r="H23" s="47"/>
      <c r="I23" s="27"/>
      <c r="J23" s="27"/>
    </row>
    <row r="24" spans="1:10" x14ac:dyDescent="0.3">
      <c r="A24" s="14" t="s">
        <v>486</v>
      </c>
      <c r="B24" s="5">
        <f>20*LOG10(B23)</f>
        <v>-59.991544204982361</v>
      </c>
      <c r="C24" s="47" t="s">
        <v>488</v>
      </c>
      <c r="H24" s="47"/>
      <c r="I24" s="27"/>
      <c r="J24" s="27"/>
    </row>
    <row r="25" spans="1:10" x14ac:dyDescent="0.3">
      <c r="A25" s="14" t="s">
        <v>282</v>
      </c>
      <c r="B25" s="49">
        <f>-ATAN(B22/B18)*180/PI()</f>
        <v>-89.942648405772005</v>
      </c>
      <c r="C25" s="51" t="s">
        <v>487</v>
      </c>
      <c r="D25" s="49"/>
      <c r="H25" s="47"/>
      <c r="I25" s="27"/>
      <c r="J25" s="27"/>
    </row>
    <row r="26" spans="1:10" x14ac:dyDescent="0.3">
      <c r="H26" s="50"/>
      <c r="I26" s="27"/>
      <c r="J26" s="27"/>
    </row>
    <row r="27" spans="1:10" x14ac:dyDescent="0.3">
      <c r="I27" s="48"/>
      <c r="J27" s="48"/>
    </row>
    <row r="28" spans="1:10" x14ac:dyDescent="0.3">
      <c r="I28" s="48"/>
      <c r="J28" s="48"/>
    </row>
    <row r="31" spans="1:10" x14ac:dyDescent="0.3">
      <c r="A31" t="s">
        <v>538</v>
      </c>
    </row>
    <row r="32" spans="1:10" x14ac:dyDescent="0.3">
      <c r="A32" s="7" t="s">
        <v>485</v>
      </c>
      <c r="B32" s="44">
        <v>10000</v>
      </c>
      <c r="C32" s="4"/>
    </row>
    <row r="33" spans="1:3" x14ac:dyDescent="0.3">
      <c r="A33" s="7" t="s">
        <v>483</v>
      </c>
      <c r="B33" s="22">
        <v>0.95</v>
      </c>
      <c r="C33" s="4"/>
    </row>
    <row r="34" spans="1:3" x14ac:dyDescent="0.3">
      <c r="A34" s="14" t="s">
        <v>486</v>
      </c>
      <c r="B34" s="5">
        <f>20*LOG10(B33)</f>
        <v>-0.44552789422304506</v>
      </c>
      <c r="C34" s="47" t="s">
        <v>488</v>
      </c>
    </row>
    <row r="35" spans="1:3" x14ac:dyDescent="0.3">
      <c r="A35" s="14" t="s">
        <v>153</v>
      </c>
      <c r="B35" s="44">
        <f>B32*1/(SQRT(1/B33^2-1))</f>
        <v>30424.349222966543</v>
      </c>
      <c r="C35" s="47" t="s">
        <v>531</v>
      </c>
    </row>
    <row r="38" spans="1:3" x14ac:dyDescent="0.3">
      <c r="A38" t="s">
        <v>539</v>
      </c>
    </row>
    <row r="39" spans="1:3" x14ac:dyDescent="0.3">
      <c r="A39" s="7" t="s">
        <v>485</v>
      </c>
      <c r="B39" s="44">
        <v>10000</v>
      </c>
      <c r="C39" s="4"/>
    </row>
    <row r="40" spans="1:3" x14ac:dyDescent="0.3">
      <c r="A40" s="7" t="s">
        <v>483</v>
      </c>
      <c r="B40" s="22">
        <v>0.01</v>
      </c>
      <c r="C40" s="4"/>
    </row>
    <row r="41" spans="1:3" x14ac:dyDescent="0.3">
      <c r="A41" s="14" t="s">
        <v>486</v>
      </c>
      <c r="B41" s="5">
        <f>20*LOG10(B40)</f>
        <v>-40</v>
      </c>
      <c r="C41" s="47" t="s">
        <v>488</v>
      </c>
    </row>
    <row r="42" spans="1:3" x14ac:dyDescent="0.3">
      <c r="A42" s="14" t="s">
        <v>153</v>
      </c>
      <c r="B42" s="44">
        <f>B40*B39</f>
        <v>100</v>
      </c>
      <c r="C42" s="4" t="s">
        <v>490</v>
      </c>
    </row>
    <row r="45" spans="1:3" x14ac:dyDescent="0.3">
      <c r="A45" t="s">
        <v>511</v>
      </c>
    </row>
    <row r="46" spans="1:3" x14ac:dyDescent="0.3">
      <c r="A46" s="7" t="s">
        <v>45</v>
      </c>
      <c r="B46" s="22">
        <v>1.5E-9</v>
      </c>
      <c r="C46" s="4"/>
    </row>
    <row r="47" spans="1:3" x14ac:dyDescent="0.3">
      <c r="A47" s="7" t="s">
        <v>47</v>
      </c>
      <c r="B47" s="44">
        <v>10610</v>
      </c>
      <c r="C47" s="4"/>
    </row>
    <row r="48" spans="1:3" x14ac:dyDescent="0.3">
      <c r="A48" s="14" t="s">
        <v>44</v>
      </c>
      <c r="B48" s="44">
        <f>1/(2*PI()*B46*B47)</f>
        <v>10000.310593270207</v>
      </c>
      <c r="C48" s="4" t="s">
        <v>512</v>
      </c>
    </row>
    <row r="49" spans="2:3" x14ac:dyDescent="0.3">
      <c r="B49" s="22"/>
      <c r="C49" s="4"/>
    </row>
  </sheetData>
  <hyperlinks>
    <hyperlink ref="A2" r:id="rId1" xr:uid="{90196FE4-0A9A-4519-BBF8-4E2695CC2232}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2F31C-6C25-4AEE-91FB-007F3CDD26DC}">
  <sheetPr codeName="Sheet6"/>
  <dimension ref="A1:F57"/>
  <sheetViews>
    <sheetView zoomScale="85" zoomScaleNormal="85" workbookViewId="0">
      <selection activeCell="G45" sqref="G45"/>
    </sheetView>
  </sheetViews>
  <sheetFormatPr defaultColWidth="8.77734375" defaultRowHeight="14.4" x14ac:dyDescent="0.3"/>
  <cols>
    <col min="1" max="1" width="12.21875" style="1" customWidth="1"/>
    <col min="2" max="2" width="11.5546875" style="1" customWidth="1"/>
    <col min="3" max="3" width="8.77734375" style="4"/>
    <col min="4" max="16384" width="8.77734375" style="1"/>
  </cols>
  <sheetData>
    <row r="1" spans="1:6" ht="18" x14ac:dyDescent="0.35">
      <c r="A1" s="2" t="s">
        <v>357</v>
      </c>
    </row>
    <row r="2" spans="1:6" x14ac:dyDescent="0.3">
      <c r="A2" s="3" t="s">
        <v>2</v>
      </c>
      <c r="D2" s="9"/>
      <c r="E2" s="4" t="s">
        <v>17</v>
      </c>
    </row>
    <row r="3" spans="1:6" x14ac:dyDescent="0.3">
      <c r="D3" s="15"/>
      <c r="E3" s="10" t="s">
        <v>18</v>
      </c>
    </row>
    <row r="4" spans="1:6" x14ac:dyDescent="0.3">
      <c r="D4" s="10"/>
      <c r="E4" s="10"/>
    </row>
    <row r="5" spans="1:6" x14ac:dyDescent="0.3">
      <c r="B5"/>
      <c r="D5" s="10"/>
      <c r="E5" s="10"/>
    </row>
    <row r="6" spans="1:6" x14ac:dyDescent="0.3">
      <c r="D6" s="10"/>
      <c r="E6" s="10"/>
    </row>
    <row r="7" spans="1:6" x14ac:dyDescent="0.3">
      <c r="D7" s="10"/>
      <c r="E7" s="10"/>
    </row>
    <row r="8" spans="1:6" x14ac:dyDescent="0.3">
      <c r="B8"/>
      <c r="D8" s="10"/>
      <c r="E8" s="10"/>
    </row>
    <row r="9" spans="1:6" x14ac:dyDescent="0.3">
      <c r="D9" s="10"/>
      <c r="E9" s="10"/>
    </row>
    <row r="10" spans="1:6" x14ac:dyDescent="0.3">
      <c r="D10" s="10"/>
      <c r="E10" s="10"/>
    </row>
    <row r="11" spans="1:6" x14ac:dyDescent="0.3">
      <c r="D11" s="10"/>
      <c r="E11" s="10"/>
    </row>
    <row r="12" spans="1:6" x14ac:dyDescent="0.3">
      <c r="D12" s="10"/>
      <c r="E12" s="10"/>
    </row>
    <row r="15" spans="1:6" x14ac:dyDescent="0.3">
      <c r="A15" s="4" t="s">
        <v>365</v>
      </c>
      <c r="E15"/>
    </row>
    <row r="16" spans="1:6" x14ac:dyDescent="0.3">
      <c r="A16" s="7" t="s">
        <v>12</v>
      </c>
      <c r="B16" s="6">
        <v>2</v>
      </c>
      <c r="F16"/>
    </row>
    <row r="17" spans="1:6" x14ac:dyDescent="0.3">
      <c r="A17" s="7" t="s">
        <v>0</v>
      </c>
      <c r="B17" s="1">
        <v>10000</v>
      </c>
      <c r="F17"/>
    </row>
    <row r="18" spans="1:6" x14ac:dyDescent="0.3">
      <c r="A18" s="7" t="s">
        <v>1</v>
      </c>
      <c r="B18" s="1">
        <v>20000</v>
      </c>
    </row>
    <row r="20" spans="1:6" x14ac:dyDescent="0.3">
      <c r="A20" s="14" t="s">
        <v>66</v>
      </c>
      <c r="B20" s="20">
        <f>B18/B17+1</f>
        <v>3</v>
      </c>
      <c r="C20" s="4" t="s">
        <v>78</v>
      </c>
    </row>
    <row r="21" spans="1:6" x14ac:dyDescent="0.3">
      <c r="A21" s="14" t="s">
        <v>13</v>
      </c>
      <c r="B21" s="20">
        <f>B16*B20</f>
        <v>6</v>
      </c>
      <c r="C21" s="4" t="s">
        <v>366</v>
      </c>
    </row>
    <row r="24" spans="1:6" x14ac:dyDescent="0.3">
      <c r="A24" s="4" t="s">
        <v>351</v>
      </c>
      <c r="E24"/>
    </row>
    <row r="25" spans="1:6" x14ac:dyDescent="0.3">
      <c r="A25" s="7" t="s">
        <v>12</v>
      </c>
      <c r="B25" s="6">
        <v>1</v>
      </c>
      <c r="F25"/>
    </row>
    <row r="26" spans="1:6" x14ac:dyDescent="0.3">
      <c r="A26" s="7" t="s">
        <v>13</v>
      </c>
      <c r="B26" s="20">
        <v>10</v>
      </c>
      <c r="F26"/>
    </row>
    <row r="27" spans="1:6" x14ac:dyDescent="0.3">
      <c r="A27" s="7" t="s">
        <v>0</v>
      </c>
      <c r="B27" s="1">
        <v>1000</v>
      </c>
    </row>
    <row r="29" spans="1:6" x14ac:dyDescent="0.3">
      <c r="A29" s="14" t="s">
        <v>66</v>
      </c>
      <c r="B29" s="20">
        <f>B26/B25</f>
        <v>10</v>
      </c>
      <c r="C29" s="4" t="s">
        <v>16</v>
      </c>
    </row>
    <row r="30" spans="1:6" x14ac:dyDescent="0.3">
      <c r="A30" s="14" t="s">
        <v>1</v>
      </c>
      <c r="B30" s="11">
        <f>B27*(B29-1)</f>
        <v>9000</v>
      </c>
      <c r="C30" s="4" t="s">
        <v>68</v>
      </c>
    </row>
    <row r="33" spans="1:6" x14ac:dyDescent="0.3">
      <c r="A33" s="4" t="s">
        <v>367</v>
      </c>
    </row>
    <row r="34" spans="1:6" x14ac:dyDescent="0.3">
      <c r="A34" s="7" t="s">
        <v>0</v>
      </c>
      <c r="B34" s="44">
        <v>10000</v>
      </c>
      <c r="F34"/>
    </row>
    <row r="35" spans="1:6" x14ac:dyDescent="0.3">
      <c r="A35" s="7" t="s">
        <v>1</v>
      </c>
      <c r="B35" s="44">
        <v>30000</v>
      </c>
    </row>
    <row r="37" spans="1:6" x14ac:dyDescent="0.3">
      <c r="A37" s="4" t="s">
        <v>499</v>
      </c>
    </row>
    <row r="38" spans="1:6" x14ac:dyDescent="0.3">
      <c r="A38" s="7" t="s">
        <v>497</v>
      </c>
      <c r="B38" s="44">
        <v>800000</v>
      </c>
      <c r="C38" s="4" t="s">
        <v>154</v>
      </c>
    </row>
    <row r="40" spans="1:6" x14ac:dyDescent="0.3">
      <c r="A40" s="4" t="s">
        <v>155</v>
      </c>
    </row>
    <row r="41" spans="1:6" x14ac:dyDescent="0.3">
      <c r="A41" s="7" t="s">
        <v>152</v>
      </c>
      <c r="B41" s="20">
        <f>B35/B34+1</f>
        <v>4</v>
      </c>
      <c r="C41" s="4" t="s">
        <v>369</v>
      </c>
      <c r="E41" s="4" t="s">
        <v>156</v>
      </c>
    </row>
    <row r="43" spans="1:6" x14ac:dyDescent="0.3">
      <c r="A43" s="4" t="s">
        <v>358</v>
      </c>
      <c r="B43" s="4"/>
    </row>
    <row r="44" spans="1:6" x14ac:dyDescent="0.3">
      <c r="A44" s="14" t="s">
        <v>474</v>
      </c>
      <c r="B44" s="44">
        <f>B38/B41</f>
        <v>200000</v>
      </c>
      <c r="C44" s="4" t="s">
        <v>498</v>
      </c>
    </row>
    <row r="45" spans="1:6" x14ac:dyDescent="0.3">
      <c r="A45" s="14" t="s">
        <v>55</v>
      </c>
      <c r="B45" s="22">
        <f>1/(6.28*B44)</f>
        <v>7.9617834394904462E-7</v>
      </c>
      <c r="C45" s="4" t="s">
        <v>500</v>
      </c>
    </row>
    <row r="46" spans="1:6" x14ac:dyDescent="0.3">
      <c r="A46" s="20"/>
      <c r="B46" s="20"/>
      <c r="E46" s="4"/>
    </row>
    <row r="47" spans="1:6" x14ac:dyDescent="0.3">
      <c r="A47" s="4" t="s">
        <v>359</v>
      </c>
    </row>
    <row r="48" spans="1:6" x14ac:dyDescent="0.3">
      <c r="A48" s="14" t="s">
        <v>50</v>
      </c>
      <c r="B48" s="13">
        <f>B45</f>
        <v>7.9617834394904462E-7</v>
      </c>
      <c r="C48" t="s">
        <v>55</v>
      </c>
    </row>
    <row r="49" spans="1:4" x14ac:dyDescent="0.3">
      <c r="A49" s="14" t="s">
        <v>52</v>
      </c>
      <c r="B49" s="13">
        <f>2.2*B48</f>
        <v>1.7515923566878982E-6</v>
      </c>
      <c r="C49" t="s">
        <v>53</v>
      </c>
    </row>
    <row r="50" spans="1:4" x14ac:dyDescent="0.3">
      <c r="B50" s="13"/>
      <c r="C50"/>
    </row>
    <row r="51" spans="1:4" x14ac:dyDescent="0.3">
      <c r="A51" s="4" t="s">
        <v>494</v>
      </c>
    </row>
    <row r="52" spans="1:4" x14ac:dyDescent="0.3">
      <c r="A52" s="14" t="s">
        <v>54</v>
      </c>
      <c r="B52" s="13">
        <f>-LN(0.01)/LN(EXP(1))*B45</f>
        <v>3.666536772283512E-6</v>
      </c>
      <c r="C52" s="18" t="s">
        <v>57</v>
      </c>
      <c r="D52"/>
    </row>
    <row r="53" spans="1:4" x14ac:dyDescent="0.3">
      <c r="A53" s="14" t="s">
        <v>56</v>
      </c>
      <c r="B53" s="13">
        <f>-LN(0.001)/LN(EXP(1))*B45</f>
        <v>5.4998051584252687E-6</v>
      </c>
      <c r="C53" s="18" t="s">
        <v>58</v>
      </c>
      <c r="D53"/>
    </row>
    <row r="55" spans="1:4" x14ac:dyDescent="0.3">
      <c r="A55" s="4" t="s">
        <v>492</v>
      </c>
    </row>
    <row r="56" spans="1:4" x14ac:dyDescent="0.3">
      <c r="A56" s="7" t="s">
        <v>26</v>
      </c>
      <c r="B56" s="20">
        <v>2.4399999999999999E-4</v>
      </c>
      <c r="C56" s="4" t="s">
        <v>496</v>
      </c>
      <c r="D56"/>
    </row>
    <row r="57" spans="1:4" x14ac:dyDescent="0.3">
      <c r="A57" s="14" t="s">
        <v>493</v>
      </c>
      <c r="B57" s="13">
        <f>-LN(B56)/LN(EXP(1))*B48</f>
        <v>6.6228840228272873E-6</v>
      </c>
      <c r="C57" s="18" t="s">
        <v>495</v>
      </c>
      <c r="D57"/>
    </row>
  </sheetData>
  <hyperlinks>
    <hyperlink ref="A2" r:id="rId1" xr:uid="{FBEC747A-AE24-49C2-B68F-90D7667D22A5}"/>
  </hyperlinks>
  <pageMargins left="0.7" right="0.7" top="0.75" bottom="0.75" header="0.3" footer="0.3"/>
  <pageSetup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7AEBF-E28B-4B74-98BE-723049933799}">
  <dimension ref="A1:F57"/>
  <sheetViews>
    <sheetView zoomScale="85" zoomScaleNormal="85" workbookViewId="0">
      <selection activeCell="J14" sqref="J14"/>
    </sheetView>
  </sheetViews>
  <sheetFormatPr defaultColWidth="8.77734375" defaultRowHeight="14.4" x14ac:dyDescent="0.3"/>
  <cols>
    <col min="1" max="1" width="12.21875" style="1" customWidth="1"/>
    <col min="2" max="2" width="11.5546875" style="1" customWidth="1"/>
    <col min="3" max="3" width="8.77734375" style="4"/>
    <col min="4" max="16384" width="8.77734375" style="1"/>
  </cols>
  <sheetData>
    <row r="1" spans="1:6" ht="18" x14ac:dyDescent="0.35">
      <c r="A1" s="2" t="s">
        <v>370</v>
      </c>
    </row>
    <row r="2" spans="1:6" x14ac:dyDescent="0.3">
      <c r="A2" s="3" t="s">
        <v>2</v>
      </c>
      <c r="D2" s="9"/>
      <c r="E2" s="4" t="s">
        <v>17</v>
      </c>
    </row>
    <row r="3" spans="1:6" x14ac:dyDescent="0.3">
      <c r="D3" s="15"/>
      <c r="E3" s="10" t="s">
        <v>18</v>
      </c>
    </row>
    <row r="4" spans="1:6" x14ac:dyDescent="0.3">
      <c r="D4" s="10"/>
      <c r="E4" s="10"/>
    </row>
    <row r="5" spans="1:6" x14ac:dyDescent="0.3">
      <c r="B5"/>
      <c r="D5" s="10"/>
      <c r="E5" s="10"/>
    </row>
    <row r="6" spans="1:6" x14ac:dyDescent="0.3">
      <c r="D6" s="10"/>
      <c r="E6" s="10"/>
    </row>
    <row r="7" spans="1:6" x14ac:dyDescent="0.3">
      <c r="D7" s="10"/>
      <c r="E7" s="10"/>
    </row>
    <row r="8" spans="1:6" x14ac:dyDescent="0.3">
      <c r="B8"/>
      <c r="D8" s="10"/>
      <c r="E8" s="10"/>
    </row>
    <row r="9" spans="1:6" x14ac:dyDescent="0.3">
      <c r="D9" s="10"/>
      <c r="E9" s="10"/>
    </row>
    <row r="10" spans="1:6" x14ac:dyDescent="0.3">
      <c r="D10" s="10"/>
      <c r="E10" s="10"/>
    </row>
    <row r="11" spans="1:6" x14ac:dyDescent="0.3">
      <c r="D11" s="10"/>
      <c r="E11" s="10"/>
    </row>
    <row r="12" spans="1:6" x14ac:dyDescent="0.3">
      <c r="D12" s="10"/>
      <c r="E12" s="10"/>
    </row>
    <row r="15" spans="1:6" x14ac:dyDescent="0.3">
      <c r="A15" s="4" t="s">
        <v>365</v>
      </c>
      <c r="E15"/>
    </row>
    <row r="16" spans="1:6" x14ac:dyDescent="0.3">
      <c r="A16" s="7" t="s">
        <v>12</v>
      </c>
      <c r="B16" s="6">
        <v>2</v>
      </c>
      <c r="F16"/>
    </row>
    <row r="17" spans="1:6" x14ac:dyDescent="0.3">
      <c r="A17" s="7" t="s">
        <v>0</v>
      </c>
      <c r="B17" s="1">
        <v>10000</v>
      </c>
      <c r="F17"/>
    </row>
    <row r="18" spans="1:6" x14ac:dyDescent="0.3">
      <c r="A18" s="7" t="s">
        <v>1</v>
      </c>
      <c r="B18" s="1">
        <v>20000</v>
      </c>
    </row>
    <row r="20" spans="1:6" x14ac:dyDescent="0.3">
      <c r="A20" s="14" t="s">
        <v>66</v>
      </c>
      <c r="B20" s="20">
        <f>-B18/B17</f>
        <v>-2</v>
      </c>
      <c r="C20" s="4" t="s">
        <v>78</v>
      </c>
    </row>
    <row r="21" spans="1:6" x14ac:dyDescent="0.3">
      <c r="A21" s="14" t="s">
        <v>13</v>
      </c>
      <c r="B21" s="20">
        <f>B16*B20</f>
        <v>-4</v>
      </c>
      <c r="C21" s="4" t="s">
        <v>366</v>
      </c>
    </row>
    <row r="24" spans="1:6" x14ac:dyDescent="0.3">
      <c r="A24" s="4" t="s">
        <v>351</v>
      </c>
      <c r="E24"/>
    </row>
    <row r="25" spans="1:6" x14ac:dyDescent="0.3">
      <c r="A25" s="7" t="s">
        <v>12</v>
      </c>
      <c r="B25" s="6">
        <v>1</v>
      </c>
      <c r="F25"/>
    </row>
    <row r="26" spans="1:6" x14ac:dyDescent="0.3">
      <c r="A26" s="7" t="s">
        <v>13</v>
      </c>
      <c r="B26" s="20">
        <v>10</v>
      </c>
      <c r="F26"/>
    </row>
    <row r="27" spans="1:6" x14ac:dyDescent="0.3">
      <c r="A27" s="7" t="s">
        <v>0</v>
      </c>
      <c r="B27" s="1">
        <v>1000</v>
      </c>
    </row>
    <row r="29" spans="1:6" x14ac:dyDescent="0.3">
      <c r="A29" s="14" t="s">
        <v>66</v>
      </c>
      <c r="B29" s="20">
        <f>-B26/B25</f>
        <v>-10</v>
      </c>
      <c r="C29" s="4" t="s">
        <v>16</v>
      </c>
    </row>
    <row r="30" spans="1:6" x14ac:dyDescent="0.3">
      <c r="A30" s="14" t="s">
        <v>1</v>
      </c>
      <c r="B30" s="11">
        <f>B27*(-B29)</f>
        <v>10000</v>
      </c>
      <c r="C30" s="4" t="s">
        <v>368</v>
      </c>
    </row>
    <row r="33" spans="1:6" x14ac:dyDescent="0.3">
      <c r="A33" s="4" t="s">
        <v>367</v>
      </c>
    </row>
    <row r="34" spans="1:6" x14ac:dyDescent="0.3">
      <c r="A34" s="7" t="s">
        <v>0</v>
      </c>
      <c r="B34" s="44">
        <v>10000</v>
      </c>
      <c r="F34"/>
    </row>
    <row r="35" spans="1:6" x14ac:dyDescent="0.3">
      <c r="A35" s="7" t="s">
        <v>1</v>
      </c>
      <c r="B35" s="44">
        <v>10000</v>
      </c>
    </row>
    <row r="37" spans="1:6" x14ac:dyDescent="0.3">
      <c r="A37" s="4" t="s">
        <v>499</v>
      </c>
    </row>
    <row r="38" spans="1:6" x14ac:dyDescent="0.3">
      <c r="A38" s="7" t="s">
        <v>497</v>
      </c>
      <c r="B38" s="44">
        <v>1000000</v>
      </c>
      <c r="C38" s="4" t="s">
        <v>154</v>
      </c>
    </row>
    <row r="40" spans="1:6" x14ac:dyDescent="0.3">
      <c r="A40" s="4" t="s">
        <v>155</v>
      </c>
    </row>
    <row r="41" spans="1:6" x14ac:dyDescent="0.3">
      <c r="A41" s="7" t="s">
        <v>152</v>
      </c>
      <c r="B41" s="20">
        <f>B35/B34+1</f>
        <v>2</v>
      </c>
      <c r="C41" s="4" t="s">
        <v>369</v>
      </c>
      <c r="E41" s="4" t="s">
        <v>156</v>
      </c>
    </row>
    <row r="43" spans="1:6" x14ac:dyDescent="0.3">
      <c r="A43" s="4" t="s">
        <v>501</v>
      </c>
      <c r="B43" s="4"/>
    </row>
    <row r="44" spans="1:6" x14ac:dyDescent="0.3">
      <c r="A44" s="14" t="s">
        <v>474</v>
      </c>
      <c r="B44" s="44">
        <f>B38/B41</f>
        <v>500000</v>
      </c>
      <c r="C44" s="4" t="s">
        <v>498</v>
      </c>
    </row>
    <row r="45" spans="1:6" x14ac:dyDescent="0.3">
      <c r="A45" s="14" t="s">
        <v>55</v>
      </c>
      <c r="B45" s="22">
        <f>1/(6.28*B44)</f>
        <v>3.1847133757961781E-7</v>
      </c>
      <c r="C45" s="4" t="s">
        <v>500</v>
      </c>
    </row>
    <row r="46" spans="1:6" x14ac:dyDescent="0.3">
      <c r="A46" s="20"/>
      <c r="B46" s="20"/>
      <c r="E46" s="4"/>
    </row>
    <row r="47" spans="1:6" x14ac:dyDescent="0.3">
      <c r="A47" s="4" t="s">
        <v>359</v>
      </c>
    </row>
    <row r="48" spans="1:6" x14ac:dyDescent="0.3">
      <c r="A48" s="14" t="s">
        <v>50</v>
      </c>
      <c r="B48" s="13">
        <f>B45</f>
        <v>3.1847133757961781E-7</v>
      </c>
      <c r="C48" t="s">
        <v>55</v>
      </c>
    </row>
    <row r="49" spans="1:4" x14ac:dyDescent="0.3">
      <c r="A49" s="14" t="s">
        <v>52</v>
      </c>
      <c r="B49" s="13">
        <f>2.2*B48</f>
        <v>7.0063694267515925E-7</v>
      </c>
      <c r="C49" t="s">
        <v>53</v>
      </c>
    </row>
    <row r="50" spans="1:4" x14ac:dyDescent="0.3">
      <c r="B50" s="13"/>
      <c r="C50"/>
    </row>
    <row r="51" spans="1:4" x14ac:dyDescent="0.3">
      <c r="A51" s="4" t="s">
        <v>494</v>
      </c>
    </row>
    <row r="52" spans="1:4" x14ac:dyDescent="0.3">
      <c r="A52" s="14" t="s">
        <v>54</v>
      </c>
      <c r="B52" s="13">
        <f>-LN(0.01)/LN(EXP(1))*B45</f>
        <v>1.4666147089134046E-6</v>
      </c>
      <c r="C52" s="18" t="s">
        <v>57</v>
      </c>
      <c r="D52"/>
    </row>
    <row r="53" spans="1:4" x14ac:dyDescent="0.3">
      <c r="A53" s="14" t="s">
        <v>56</v>
      </c>
      <c r="B53" s="13">
        <f>-LN(0.001)/LN(EXP(1))*B45</f>
        <v>2.1999220633701072E-6</v>
      </c>
      <c r="C53" s="18" t="s">
        <v>58</v>
      </c>
      <c r="D53"/>
    </row>
    <row r="55" spans="1:4" x14ac:dyDescent="0.3">
      <c r="A55" s="4" t="s">
        <v>492</v>
      </c>
    </row>
    <row r="56" spans="1:4" x14ac:dyDescent="0.3">
      <c r="A56" s="7" t="s">
        <v>26</v>
      </c>
      <c r="B56" s="20">
        <v>1E-3</v>
      </c>
      <c r="C56" s="4" t="s">
        <v>496</v>
      </c>
      <c r="D56"/>
    </row>
    <row r="57" spans="1:4" x14ac:dyDescent="0.3">
      <c r="A57" s="14" t="s">
        <v>493</v>
      </c>
      <c r="B57" s="13">
        <f>-LN(B56)/LN(EXP(1))*B48</f>
        <v>2.1999220633701072E-6</v>
      </c>
      <c r="C57" s="18" t="s">
        <v>495</v>
      </c>
      <c r="D57"/>
    </row>
  </sheetData>
  <hyperlinks>
    <hyperlink ref="A2" r:id="rId1" xr:uid="{4176F296-964D-4305-99BA-30380F73DF43}"/>
  </hyperlinks>
  <pageMargins left="0.7" right="0.7" top="0.75" bottom="0.75" header="0.3" footer="0.3"/>
  <pageSetup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135DD-BAE3-42F2-99EC-E7B5B235558B}">
  <dimension ref="A1:E46"/>
  <sheetViews>
    <sheetView zoomScale="85" zoomScaleNormal="85" workbookViewId="0">
      <selection activeCell="F38" sqref="F38"/>
    </sheetView>
  </sheetViews>
  <sheetFormatPr defaultRowHeight="14.4" x14ac:dyDescent="0.3"/>
  <cols>
    <col min="1" max="1" width="13.88671875" customWidth="1"/>
    <col min="2" max="2" width="12.109375" customWidth="1"/>
    <col min="3" max="3" width="12.44140625" customWidth="1"/>
  </cols>
  <sheetData>
    <row r="1" spans="1:5" ht="18" x14ac:dyDescent="0.35">
      <c r="A1" s="8" t="s">
        <v>502</v>
      </c>
    </row>
    <row r="2" spans="1:5" x14ac:dyDescent="0.3">
      <c r="A2" s="3" t="s">
        <v>2</v>
      </c>
      <c r="D2" s="9"/>
      <c r="E2" s="4" t="s">
        <v>41</v>
      </c>
    </row>
    <row r="3" spans="1:5" x14ac:dyDescent="0.3">
      <c r="D3" s="15"/>
      <c r="E3" s="10" t="s">
        <v>42</v>
      </c>
    </row>
    <row r="20" spans="1:5" s="1" customFormat="1" x14ac:dyDescent="0.3">
      <c r="A20" s="46" t="s">
        <v>473</v>
      </c>
    </row>
    <row r="21" spans="1:5" s="1" customFormat="1" x14ac:dyDescent="0.3">
      <c r="A21" s="7" t="s">
        <v>514</v>
      </c>
      <c r="B21" s="45">
        <v>5</v>
      </c>
      <c r="C21" s="4" t="s">
        <v>515</v>
      </c>
      <c r="E21" s="4"/>
    </row>
    <row r="22" spans="1:5" s="1" customFormat="1" x14ac:dyDescent="0.3">
      <c r="A22" s="7" t="s">
        <v>471</v>
      </c>
      <c r="B22" s="44">
        <v>1000000</v>
      </c>
      <c r="C22" s="46" t="s">
        <v>472</v>
      </c>
      <c r="E22" s="4"/>
    </row>
    <row r="24" spans="1:5" s="1" customFormat="1" x14ac:dyDescent="0.3">
      <c r="A24" s="14" t="s">
        <v>474</v>
      </c>
      <c r="B24" s="44">
        <f>B22/B21</f>
        <v>200000</v>
      </c>
      <c r="C24" s="46" t="s">
        <v>475</v>
      </c>
      <c r="E24" s="4"/>
    </row>
    <row r="25" spans="1:5" s="1" customFormat="1" x14ac:dyDescent="0.3">
      <c r="B25" s="5"/>
      <c r="C25" s="4"/>
    </row>
    <row r="26" spans="1:5" s="1" customFormat="1" x14ac:dyDescent="0.3">
      <c r="B26" s="5"/>
      <c r="C26" s="4"/>
    </row>
    <row r="27" spans="1:5" s="1" customFormat="1" x14ac:dyDescent="0.3">
      <c r="A27" s="46" t="s">
        <v>477</v>
      </c>
    </row>
    <row r="28" spans="1:5" s="1" customFormat="1" x14ac:dyDescent="0.3">
      <c r="A28" s="7" t="s">
        <v>514</v>
      </c>
      <c r="B28" s="45">
        <v>5</v>
      </c>
      <c r="C28" s="4" t="s">
        <v>515</v>
      </c>
      <c r="E28" s="4"/>
    </row>
    <row r="29" spans="1:5" s="1" customFormat="1" x14ac:dyDescent="0.3">
      <c r="A29" s="7" t="s">
        <v>474</v>
      </c>
      <c r="B29" s="44">
        <v>250000</v>
      </c>
      <c r="C29" s="46" t="s">
        <v>478</v>
      </c>
      <c r="E29" s="4"/>
    </row>
    <row r="31" spans="1:5" s="1" customFormat="1" x14ac:dyDescent="0.3">
      <c r="A31" s="14" t="s">
        <v>471</v>
      </c>
      <c r="B31" s="44">
        <f>B29*B28</f>
        <v>1250000</v>
      </c>
      <c r="C31" s="46" t="s">
        <v>479</v>
      </c>
      <c r="E31" s="4"/>
    </row>
    <row r="36" spans="1:4" x14ac:dyDescent="0.3">
      <c r="A36" s="4" t="s">
        <v>540</v>
      </c>
    </row>
    <row r="37" spans="1:4" x14ac:dyDescent="0.3">
      <c r="A37" s="7" t="s">
        <v>0</v>
      </c>
      <c r="B37" s="44">
        <v>10000</v>
      </c>
    </row>
    <row r="38" spans="1:4" x14ac:dyDescent="0.3">
      <c r="A38" s="7" t="s">
        <v>1</v>
      </c>
      <c r="B38" s="44">
        <v>10000</v>
      </c>
    </row>
    <row r="40" spans="1:4" x14ac:dyDescent="0.3">
      <c r="A40" s="1" t="s">
        <v>516</v>
      </c>
      <c r="B40" s="1"/>
      <c r="C40" s="1"/>
    </row>
    <row r="41" spans="1:4" x14ac:dyDescent="0.3">
      <c r="A41" s="14" t="s">
        <v>470</v>
      </c>
      <c r="B41" s="45">
        <f>B38/B37+1</f>
        <v>2</v>
      </c>
      <c r="C41" t="s">
        <v>369</v>
      </c>
      <c r="D41" t="s">
        <v>518</v>
      </c>
    </row>
    <row r="42" spans="1:4" x14ac:dyDescent="0.3">
      <c r="A42" s="54" t="s">
        <v>514</v>
      </c>
      <c r="B42" s="45">
        <f>B38/B37+1</f>
        <v>2</v>
      </c>
      <c r="C42" s="53" t="s">
        <v>369</v>
      </c>
      <c r="D42" s="53" t="s">
        <v>517</v>
      </c>
    </row>
    <row r="44" spans="1:4" x14ac:dyDescent="0.3">
      <c r="A44" s="1" t="s">
        <v>519</v>
      </c>
      <c r="B44" s="1"/>
      <c r="C44" s="1"/>
    </row>
    <row r="45" spans="1:4" x14ac:dyDescent="0.3">
      <c r="A45" s="14" t="s">
        <v>470</v>
      </c>
      <c r="B45" s="45">
        <f>-B38/B37</f>
        <v>-1</v>
      </c>
      <c r="C45" t="s">
        <v>369</v>
      </c>
      <c r="D45" t="s">
        <v>518</v>
      </c>
    </row>
    <row r="46" spans="1:4" x14ac:dyDescent="0.3">
      <c r="A46" s="54" t="s">
        <v>514</v>
      </c>
      <c r="B46" s="45">
        <f>B38/B37+1</f>
        <v>2</v>
      </c>
      <c r="C46" s="53" t="s">
        <v>369</v>
      </c>
      <c r="D46" s="53" t="s">
        <v>517</v>
      </c>
    </row>
  </sheetData>
  <hyperlinks>
    <hyperlink ref="A2" r:id="rId1" xr:uid="{976A8D3A-3BE0-4709-98E9-614E730AF044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Toolkit Overview</vt:lpstr>
      <vt:lpstr>R Parallel</vt:lpstr>
      <vt:lpstr>R Divider</vt:lpstr>
      <vt:lpstr>Ratio,%,ppm,bits,dB</vt:lpstr>
      <vt:lpstr>LP Filter</vt:lpstr>
      <vt:lpstr>LP Filter (f)</vt:lpstr>
      <vt:lpstr>Amp Non-Inv</vt:lpstr>
      <vt:lpstr>Amp Invert</vt:lpstr>
      <vt:lpstr>Gain-Bandwidth</vt:lpstr>
      <vt:lpstr>Slew Rate</vt:lpstr>
      <vt:lpstr>Diff Amp</vt:lpstr>
      <vt:lpstr>Integ</vt:lpstr>
      <vt:lpstr>Differ</vt:lpstr>
      <vt:lpstr>ADC</vt:lpstr>
      <vt:lpstr>DAC</vt:lpstr>
      <vt:lpstr>Reg Linear</vt:lpstr>
      <vt:lpstr>Reg Heat</vt:lpstr>
      <vt:lpstr>Super Pos</vt:lpstr>
      <vt:lpstr>BJT Amp CE</vt:lpstr>
      <vt:lpstr>Control Sys</vt:lpstr>
      <vt:lpstr>Noise en,eR</vt:lpstr>
      <vt:lpstr>Xfmr Ideal</vt:lpstr>
      <vt:lpstr>R Divider AC</vt:lpstr>
      <vt:lpstr>SMPS Buck</vt:lpstr>
      <vt:lpstr>Calibration</vt:lpstr>
      <vt:lpstr>Comp Hys</vt:lpstr>
      <vt:lpstr>Cap, Ind</vt:lpstr>
      <vt:lpstr>Current Src</vt:lpstr>
      <vt:lpstr>Diode Leakage</vt:lpstr>
      <vt:lpstr>555 Timer</vt:lpstr>
      <vt:lpstr>EE Hands-On Topics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Faehnrich</dc:creator>
  <cp:lastModifiedBy>Rick Faehnrich</cp:lastModifiedBy>
  <dcterms:created xsi:type="dcterms:W3CDTF">2015-06-05T18:17:20Z</dcterms:created>
  <dcterms:modified xsi:type="dcterms:W3CDTF">2026-09-01T16:58:48Z</dcterms:modified>
</cp:coreProperties>
</file>