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13_ncr:1_{488AA328-9965-4CEF-92A6-C199C7C9C58C}" xr6:coauthVersionLast="47" xr6:coauthVersionMax="47" xr10:uidLastSave="{00000000-0000-0000-0000-000000000000}"/>
  <bookViews>
    <workbookView xWindow="390" yWindow="50" windowWidth="17340" windowHeight="9860" xr2:uid="{00000000-000D-0000-FFFF-FFFF00000000}"/>
  </bookViews>
  <sheets>
    <sheet name="Amp1_Calc" sheetId="8" r:id="rId1"/>
    <sheet name="Offset Errors" sheetId="9" r:id="rId2"/>
    <sheet name="Gain Errors" sheetId="10" r:id="rId3"/>
    <sheet name="1f Noise" sheetId="13" r:id="rId4"/>
  </sheets>
  <calcPr calcId="191029"/>
</workbook>
</file>

<file path=xl/calcChain.xml><?xml version="1.0" encoding="utf-8"?>
<calcChain xmlns="http://schemas.openxmlformats.org/spreadsheetml/2006/main">
  <c r="J41" i="9" l="1"/>
  <c r="H41" i="9"/>
  <c r="E41" i="9"/>
  <c r="I41" i="9" s="1"/>
  <c r="K41" i="9" s="1"/>
  <c r="M41" i="9" s="1"/>
  <c r="C9" i="13"/>
  <c r="C24" i="8"/>
  <c r="H33" i="9" s="1"/>
  <c r="I33" i="9" s="1"/>
  <c r="C28" i="8"/>
  <c r="C26" i="8"/>
  <c r="C32" i="8"/>
  <c r="C30" i="8"/>
  <c r="C38" i="8"/>
  <c r="E43" i="9"/>
  <c r="H43" i="9"/>
  <c r="E42" i="9"/>
  <c r="C34" i="8"/>
  <c r="H42" i="9" s="1"/>
  <c r="B9" i="13"/>
  <c r="C22" i="8"/>
  <c r="C49" i="8"/>
  <c r="C48" i="8"/>
  <c r="C45" i="8"/>
  <c r="C44" i="8"/>
  <c r="N41" i="9" l="1"/>
  <c r="I42" i="9"/>
  <c r="I43" i="9"/>
  <c r="H38" i="9"/>
  <c r="H37" i="9"/>
  <c r="I37" i="9" s="1"/>
  <c r="H40" i="9"/>
  <c r="H39" i="9"/>
  <c r="I39" i="9" s="1"/>
  <c r="H36" i="9"/>
  <c r="H35" i="9"/>
  <c r="I35" i="9" s="1"/>
  <c r="H24" i="9"/>
  <c r="I24" i="9" s="1"/>
  <c r="D61" i="13"/>
  <c r="D62" i="13"/>
  <c r="D63" i="13"/>
  <c r="D64" i="13"/>
  <c r="D65" i="13"/>
  <c r="D57" i="13"/>
  <c r="D58" i="13"/>
  <c r="D59" i="13"/>
  <c r="D60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16" i="13"/>
  <c r="B17" i="13"/>
  <c r="C16" i="13"/>
  <c r="E16" i="13" s="1"/>
  <c r="F16" i="13" l="1"/>
  <c r="B18" i="13"/>
  <c r="C17" i="13"/>
  <c r="E17" i="13" s="1"/>
  <c r="F17" i="13" s="1"/>
  <c r="B19" i="13" l="1"/>
  <c r="C18" i="13"/>
  <c r="E18" i="13" s="1"/>
  <c r="F18" i="13" s="1"/>
  <c r="B20" i="13" l="1"/>
  <c r="C19" i="13"/>
  <c r="E19" i="13" s="1"/>
  <c r="F19" i="13" s="1"/>
  <c r="B21" i="13" l="1"/>
  <c r="C20" i="13"/>
  <c r="E20" i="13" s="1"/>
  <c r="F20" i="13" s="1"/>
  <c r="B22" i="13" l="1"/>
  <c r="C21" i="13"/>
  <c r="E21" i="13" s="1"/>
  <c r="F21" i="13" s="1"/>
  <c r="B23" i="13" l="1"/>
  <c r="C22" i="13"/>
  <c r="E22" i="13" s="1"/>
  <c r="F22" i="13" s="1"/>
  <c r="B24" i="13" l="1"/>
  <c r="C23" i="13"/>
  <c r="E23" i="13" s="1"/>
  <c r="F23" i="13" s="1"/>
  <c r="B25" i="13" l="1"/>
  <c r="C24" i="13"/>
  <c r="E24" i="13" s="1"/>
  <c r="F24" i="13" s="1"/>
  <c r="B26" i="13" l="1"/>
  <c r="C25" i="13"/>
  <c r="E25" i="13" s="1"/>
  <c r="F25" i="13" s="1"/>
  <c r="B27" i="13" l="1"/>
  <c r="C26" i="13"/>
  <c r="E26" i="13" s="1"/>
  <c r="F26" i="13" s="1"/>
  <c r="B28" i="13" l="1"/>
  <c r="C27" i="13"/>
  <c r="E27" i="13" s="1"/>
  <c r="F27" i="13" s="1"/>
  <c r="B29" i="13" l="1"/>
  <c r="C28" i="13"/>
  <c r="E28" i="13" s="1"/>
  <c r="F28" i="13" s="1"/>
  <c r="B30" i="13" l="1"/>
  <c r="C29" i="13"/>
  <c r="E29" i="13" s="1"/>
  <c r="F29" i="13" s="1"/>
  <c r="B31" i="13" l="1"/>
  <c r="C30" i="13"/>
  <c r="E30" i="13" s="1"/>
  <c r="F30" i="13" s="1"/>
  <c r="B32" i="13" l="1"/>
  <c r="C31" i="13"/>
  <c r="E31" i="13" s="1"/>
  <c r="F31" i="13" s="1"/>
  <c r="B33" i="13" l="1"/>
  <c r="C32" i="13"/>
  <c r="E32" i="13" s="1"/>
  <c r="F32" i="13" s="1"/>
  <c r="B34" i="13" l="1"/>
  <c r="C33" i="13"/>
  <c r="E33" i="13" s="1"/>
  <c r="F33" i="13" s="1"/>
  <c r="B35" i="13" l="1"/>
  <c r="C34" i="13"/>
  <c r="E34" i="13" s="1"/>
  <c r="F34" i="13" s="1"/>
  <c r="B36" i="13" l="1"/>
  <c r="C35" i="13"/>
  <c r="E35" i="13" s="1"/>
  <c r="F35" i="13" s="1"/>
  <c r="B37" i="13" l="1"/>
  <c r="C36" i="13"/>
  <c r="E36" i="13" s="1"/>
  <c r="F36" i="13" s="1"/>
  <c r="B38" i="13" l="1"/>
  <c r="C37" i="13"/>
  <c r="E37" i="13" s="1"/>
  <c r="F37" i="13" s="1"/>
  <c r="B39" i="13" l="1"/>
  <c r="C38" i="13"/>
  <c r="E38" i="13" s="1"/>
  <c r="F38" i="13" s="1"/>
  <c r="B40" i="13" l="1"/>
  <c r="C39" i="13"/>
  <c r="E39" i="13" s="1"/>
  <c r="F39" i="13" s="1"/>
  <c r="B41" i="13" l="1"/>
  <c r="C40" i="13"/>
  <c r="E40" i="13" s="1"/>
  <c r="F40" i="13" s="1"/>
  <c r="B42" i="13" l="1"/>
  <c r="C41" i="13"/>
  <c r="E41" i="13" s="1"/>
  <c r="F41" i="13" s="1"/>
  <c r="B43" i="13" l="1"/>
  <c r="C42" i="13"/>
  <c r="E42" i="13" s="1"/>
  <c r="F42" i="13" s="1"/>
  <c r="B44" i="13" l="1"/>
  <c r="C43" i="13"/>
  <c r="E43" i="13" s="1"/>
  <c r="F43" i="13" s="1"/>
  <c r="B45" i="13" l="1"/>
  <c r="C44" i="13"/>
  <c r="E44" i="13" s="1"/>
  <c r="F44" i="13" s="1"/>
  <c r="B46" i="13" l="1"/>
  <c r="C45" i="13"/>
  <c r="E45" i="13" s="1"/>
  <c r="F45" i="13" s="1"/>
  <c r="B47" i="13" l="1"/>
  <c r="C46" i="13"/>
  <c r="E46" i="13" s="1"/>
  <c r="F46" i="13" s="1"/>
  <c r="B48" i="13" l="1"/>
  <c r="C47" i="13"/>
  <c r="E47" i="13" s="1"/>
  <c r="F47" i="13" s="1"/>
  <c r="B49" i="13" l="1"/>
  <c r="C48" i="13"/>
  <c r="E48" i="13" s="1"/>
  <c r="F48" i="13" s="1"/>
  <c r="B50" i="13" l="1"/>
  <c r="C49" i="13"/>
  <c r="E49" i="13" s="1"/>
  <c r="F49" i="13" s="1"/>
  <c r="B51" i="13" l="1"/>
  <c r="C50" i="13"/>
  <c r="E50" i="13" s="1"/>
  <c r="F50" i="13" s="1"/>
  <c r="B52" i="13" l="1"/>
  <c r="C51" i="13"/>
  <c r="E51" i="13" s="1"/>
  <c r="F51" i="13" s="1"/>
  <c r="B53" i="13" l="1"/>
  <c r="C52" i="13"/>
  <c r="E52" i="13" s="1"/>
  <c r="F52" i="13" s="1"/>
  <c r="B54" i="13" l="1"/>
  <c r="C53" i="13"/>
  <c r="E53" i="13" s="1"/>
  <c r="F53" i="13" s="1"/>
  <c r="B55" i="13" l="1"/>
  <c r="C54" i="13"/>
  <c r="E54" i="13" s="1"/>
  <c r="F54" i="13" s="1"/>
  <c r="B56" i="13" l="1"/>
  <c r="C55" i="13"/>
  <c r="E55" i="13" s="1"/>
  <c r="F55" i="13" s="1"/>
  <c r="C56" i="13" l="1"/>
  <c r="E56" i="13" s="1"/>
  <c r="F56" i="13" s="1"/>
  <c r="B57" i="13"/>
  <c r="C57" i="13" l="1"/>
  <c r="E57" i="13" s="1"/>
  <c r="F57" i="13" s="1"/>
  <c r="B58" i="13"/>
  <c r="H32" i="9"/>
  <c r="I32" i="9" s="1"/>
  <c r="C12" i="8"/>
  <c r="C15" i="8" s="1"/>
  <c r="E40" i="9"/>
  <c r="I40" i="9" s="1"/>
  <c r="E38" i="9"/>
  <c r="I38" i="9" s="1"/>
  <c r="E36" i="9"/>
  <c r="I36" i="9" s="1"/>
  <c r="J42" i="9" l="1"/>
  <c r="K42" i="9" s="1"/>
  <c r="M42" i="9" s="1"/>
  <c r="J43" i="9"/>
  <c r="K43" i="9" s="1"/>
  <c r="M43" i="9" s="1"/>
  <c r="H34" i="9"/>
  <c r="I34" i="9" s="1"/>
  <c r="H25" i="9"/>
  <c r="I25" i="9" s="1"/>
  <c r="J33" i="9"/>
  <c r="K33" i="9" s="1"/>
  <c r="J34" i="9"/>
  <c r="J35" i="9"/>
  <c r="J36" i="9"/>
  <c r="J37" i="9"/>
  <c r="J38" i="9"/>
  <c r="K38" i="9" s="1"/>
  <c r="M38" i="9" s="1"/>
  <c r="J39" i="9"/>
  <c r="K39" i="9" s="1"/>
  <c r="M39" i="9" s="1"/>
  <c r="J40" i="9"/>
  <c r="J24" i="9"/>
  <c r="K24" i="9" s="1"/>
  <c r="J25" i="9"/>
  <c r="J32" i="9"/>
  <c r="K32" i="9" s="1"/>
  <c r="N32" i="9" s="1"/>
  <c r="J23" i="9"/>
  <c r="C58" i="13"/>
  <c r="E58" i="13" s="1"/>
  <c r="F58" i="13" s="1"/>
  <c r="B59" i="13"/>
  <c r="C46" i="8"/>
  <c r="C50" i="8"/>
  <c r="N24" i="9" l="1"/>
  <c r="N42" i="9"/>
  <c r="K40" i="9"/>
  <c r="M40" i="9" s="1"/>
  <c r="N43" i="9"/>
  <c r="K37" i="9"/>
  <c r="M37" i="9" s="1"/>
  <c r="N33" i="9"/>
  <c r="K25" i="9"/>
  <c r="K34" i="9"/>
  <c r="C59" i="13"/>
  <c r="E59" i="13" s="1"/>
  <c r="F59" i="13" s="1"/>
  <c r="B60" i="13"/>
  <c r="N38" i="9"/>
  <c r="N39" i="9"/>
  <c r="H23" i="9"/>
  <c r="I23" i="9" s="1"/>
  <c r="K23" i="9" s="1"/>
  <c r="H32" i="10"/>
  <c r="I32" i="10" s="1"/>
  <c r="H23" i="10"/>
  <c r="I23" i="10" s="1"/>
  <c r="H33" i="10"/>
  <c r="I33" i="10" s="1"/>
  <c r="H24" i="10"/>
  <c r="I24" i="10" s="1"/>
  <c r="N25" i="9" l="1"/>
  <c r="N37" i="9"/>
  <c r="N40" i="9"/>
  <c r="N34" i="9"/>
  <c r="B61" i="13"/>
  <c r="C60" i="13"/>
  <c r="E60" i="13" s="1"/>
  <c r="F60" i="13" s="1"/>
  <c r="K36" i="9"/>
  <c r="M36" i="9" s="1"/>
  <c r="K35" i="9"/>
  <c r="M35" i="9" s="1"/>
  <c r="N24" i="10"/>
  <c r="M24" i="10"/>
  <c r="N33" i="10"/>
  <c r="M33" i="10"/>
  <c r="N23" i="10"/>
  <c r="M23" i="10"/>
  <c r="N32" i="10"/>
  <c r="M32" i="10"/>
  <c r="N23" i="9"/>
  <c r="N28" i="9" s="1"/>
  <c r="C13" i="9" s="1"/>
  <c r="N35" i="9" l="1"/>
  <c r="C61" i="13"/>
  <c r="E61" i="13" s="1"/>
  <c r="F61" i="13" s="1"/>
  <c r="B62" i="13"/>
  <c r="N36" i="9"/>
  <c r="M36" i="10"/>
  <c r="D13" i="10" s="1"/>
  <c r="N36" i="10"/>
  <c r="M27" i="10"/>
  <c r="C13" i="10" s="1"/>
  <c r="N27" i="10"/>
  <c r="N46" i="9" l="1"/>
  <c r="N47" i="9" s="1"/>
  <c r="C62" i="13"/>
  <c r="E62" i="13" s="1"/>
  <c r="F62" i="13" s="1"/>
  <c r="B63" i="13"/>
  <c r="E13" i="10"/>
  <c r="F13" i="10" s="1"/>
  <c r="G13" i="10" s="1"/>
  <c r="D13" i="9" l="1"/>
  <c r="E13" i="9" s="1"/>
  <c r="C63" i="13"/>
  <c r="E63" i="13" s="1"/>
  <c r="F63" i="13" s="1"/>
  <c r="B64" i="13"/>
  <c r="F13" i="9" l="1"/>
  <c r="G13" i="9" s="1"/>
  <c r="E15" i="9"/>
  <c r="C64" i="13"/>
  <c r="E64" i="13" s="1"/>
  <c r="F64" i="13" s="1"/>
  <c r="B65" i="13"/>
  <c r="C65" i="13" s="1"/>
  <c r="E65" i="13" s="1"/>
  <c r="F6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8" authorId="0" shapeId="0" xr:uid="{C04A3A9F-0289-4F94-9F3A-BA3D7BB0FCC2}">
      <text>
        <r>
          <rPr>
            <sz val="9"/>
            <color indexed="81"/>
            <rFont val="Tahoma"/>
            <charset val="1"/>
          </rPr>
          <t xml:space="preserve">Noise Equivalent Bandwidth (NEB) factor, Kbw (1.57 for single pole).
For noise calc,
BW = fc x Kbw
</t>
        </r>
      </text>
    </commen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6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N27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M31" authorId="0" shapeId="0" xr:uid="{747BF170-07D9-47D4-B89D-B9ED60520BDD}">
      <text>
        <r>
          <rPr>
            <sz val="9"/>
            <color indexed="81"/>
            <rFont val="Tahoma"/>
            <family val="2"/>
          </rPr>
          <t>For noise anlaysis and review, calculates the RMS error from the peak.
Vrms = Vpk / 3</t>
        </r>
      </text>
    </comment>
    <comment ref="N31" authorId="0" shapeId="0" xr:uid="{70D52A20-29F2-4764-A82A-04F3225AEDE2}">
      <text>
        <r>
          <rPr>
            <sz val="9"/>
            <color indexed="81"/>
            <rFont val="Tahoma"/>
            <family val="2"/>
          </rPr>
          <t>Squares the errors for the Root Sum Squared (RSS) total below.</t>
        </r>
      </text>
    </comment>
    <comment ref="E35" authorId="0" shapeId="0" xr:uid="{4D283F1D-66ED-4463-9B89-91BDCE77293E}">
      <text>
        <r>
          <rPr>
            <sz val="9"/>
            <color indexed="81"/>
            <rFont val="Tahoma"/>
            <family val="2"/>
          </rPr>
          <t>Enter white noise level from plot.
example
 ew = 15nV/sqrt(Hz)</t>
        </r>
      </text>
    </comment>
    <comment ref="I35" authorId="0" shapeId="0" xr:uid="{4C798359-7D12-4496-97E8-3CC442F5A8F4}">
      <text>
        <r>
          <rPr>
            <sz val="9"/>
            <color indexed="81"/>
            <rFont val="Tahoma"/>
            <family val="2"/>
          </rPr>
          <t>Wideband Noise
ΔVoffset = e*sqrt(fH*Kbw)*3*S</t>
        </r>
      </text>
    </comment>
    <comment ref="E36" authorId="0" shapeId="0" xr:uid="{C32C0443-D95B-4390-BA2A-20E8099312CC}">
      <text>
        <r>
          <rPr>
            <sz val="9"/>
            <color indexed="81"/>
            <rFont val="Tahoma"/>
            <family val="2"/>
          </rPr>
          <t>Enter 1/f noise constant at lowest freq fx on plot.
  Kf = en(fx)*sqrt(fx)
example
 Kf = 85nV*sqrt(1Hz)</t>
        </r>
      </text>
    </comment>
    <comment ref="I36" authorId="0" shapeId="0" xr:uid="{016A4D22-B9E2-48C6-A1B7-BA4FB75DDD96}">
      <text>
        <r>
          <rPr>
            <sz val="9"/>
            <color indexed="81"/>
            <rFont val="Tahoma"/>
            <family val="2"/>
          </rPr>
          <t>1/f Noise 
ΔVoffset = e*sqrt( ln(fH/FL) )*3*S</t>
        </r>
      </text>
    </comment>
    <comment ref="E37" authorId="0" shapeId="0" xr:uid="{B23301AD-9143-427D-BB04-E2CE691C98E7}">
      <text>
        <r>
          <rPr>
            <sz val="9"/>
            <color indexed="81"/>
            <rFont val="Tahoma"/>
            <family val="2"/>
          </rPr>
          <t>Enter white noise level from plot.
example
 iw = 0.35pA/sqrt(Hz)</t>
        </r>
      </text>
    </comment>
    <comment ref="I37" authorId="0" shapeId="0" xr:uid="{8066D386-9B50-4FFA-AF6B-3B053B86F533}">
      <text>
        <r>
          <rPr>
            <sz val="9"/>
            <color indexed="81"/>
            <rFont val="Tahoma"/>
            <family val="2"/>
          </rPr>
          <t>Wideband Noise
ΔVoffset = e*sqrt(fH*Kbw)*3*S</t>
        </r>
      </text>
    </comment>
    <comment ref="E38" authorId="0" shapeId="0" xr:uid="{3EBCDDE4-EB95-496A-B410-202C0F9A8426}">
      <text>
        <r>
          <rPr>
            <sz val="9"/>
            <color indexed="81"/>
            <rFont val="Tahoma"/>
            <family val="2"/>
          </rPr>
          <t>Enter 1/f noise constant at lowest freq fx on plot.
  Kf = in(fx)*sqrt(fx)
example
 Kf = 8nA*sqrt(1Hz)</t>
        </r>
      </text>
    </comment>
    <comment ref="I38" authorId="0" shapeId="0" xr:uid="{98038854-0C24-4484-A15A-37631BDF4A5F}">
      <text>
        <r>
          <rPr>
            <sz val="9"/>
            <color indexed="81"/>
            <rFont val="Tahoma"/>
            <family val="2"/>
          </rPr>
          <t>1/f Noise 
ΔVoffset = e*sqrt( ln(fH/FL) )*3*S</t>
        </r>
      </text>
    </comment>
    <comment ref="E39" authorId="0" shapeId="0" xr:uid="{A0B1B721-0B73-433C-9457-4670DBDF537E}">
      <text>
        <r>
          <rPr>
            <sz val="9"/>
            <color indexed="81"/>
            <rFont val="Tahoma"/>
            <family val="2"/>
          </rPr>
          <t>Enter white noise level from plot.
example
 iw = 0.35pA/sqrt(Hz)</t>
        </r>
      </text>
    </comment>
    <comment ref="I39" authorId="0" shapeId="0" xr:uid="{81ED9C95-2051-432C-A256-E662A9C32150}">
      <text>
        <r>
          <rPr>
            <sz val="9"/>
            <color indexed="81"/>
            <rFont val="Tahoma"/>
            <family val="2"/>
          </rPr>
          <t>Wideband Noise
ΔVoffset = e*sqrt(fH*Kbw)*3*S</t>
        </r>
      </text>
    </comment>
    <comment ref="E40" authorId="0" shapeId="0" xr:uid="{33E90F64-BB5F-4BB5-B0C7-2D16AD83852B}">
      <text>
        <r>
          <rPr>
            <sz val="9"/>
            <color indexed="81"/>
            <rFont val="Tahoma"/>
            <family val="2"/>
          </rPr>
          <t>Enter 1/f noise constant at lowest freq fx on plot.
  Kf = in(fx)*sqrt(fx)
example
 Kf = 8nA*sqrt(1Hz)</t>
        </r>
      </text>
    </comment>
    <comment ref="I40" authorId="0" shapeId="0" xr:uid="{DD1BF29C-E7A3-4F6E-BD26-A97EA65CBF8F}">
      <text>
        <r>
          <rPr>
            <sz val="9"/>
            <color indexed="81"/>
            <rFont val="Tahoma"/>
            <family val="2"/>
          </rPr>
          <t>1/f Noise 
ΔVoffset = e*sqrt( ln(fH/FL) )*3*S</t>
        </r>
      </text>
    </comment>
    <comment ref="E41" authorId="0" shapeId="0" xr:uid="{152A9C24-AEA2-45AA-B61F-C9CC9A66F921}">
      <text>
        <r>
          <rPr>
            <sz val="9"/>
            <color indexed="81"/>
            <rFont val="Tahoma"/>
            <family val="2"/>
          </rPr>
          <t>Enter R into noise equation.
en = sqrt(4*k*T*R)
k = 1.38e−23
T = 298 (25C in kelvins)</t>
        </r>
      </text>
    </comment>
    <comment ref="I41" authorId="0" shapeId="0" xr:uid="{53472CA2-13BB-49A5-8B5B-238C1806C974}">
      <text>
        <r>
          <rPr>
            <sz val="9"/>
            <color indexed="81"/>
            <rFont val="Tahoma"/>
            <family val="2"/>
          </rPr>
          <t>Wideband Noise
ΔVoffset = e*sqrt(fH*Kbw)*3*S</t>
        </r>
      </text>
    </comment>
    <comment ref="E42" authorId="0" shapeId="0" xr:uid="{C91FFE29-0CAF-40BF-8DAE-CCCA20367B66}">
      <text>
        <r>
          <rPr>
            <sz val="9"/>
            <color indexed="81"/>
            <rFont val="Tahoma"/>
            <family val="2"/>
          </rPr>
          <t>Enter R into noise equation.
en = sqrt(4*k*T*R)
k = 1.38e−23
T = 298 (25C in kelvins)</t>
        </r>
      </text>
    </comment>
    <comment ref="I42" authorId="0" shapeId="0" xr:uid="{452BEC74-F14C-449A-8F1E-67EA1CEFB133}">
      <text>
        <r>
          <rPr>
            <sz val="9"/>
            <color indexed="81"/>
            <rFont val="Tahoma"/>
            <family val="2"/>
          </rPr>
          <t>Wideband Noise
ΔVoffset = e*sqrt(fH*Kbw)*3*S</t>
        </r>
      </text>
    </comment>
    <comment ref="E43" authorId="0" shapeId="0" xr:uid="{7BAF11F1-8BEF-4F88-BF58-465488B90ABD}">
      <text>
        <r>
          <rPr>
            <sz val="9"/>
            <color indexed="81"/>
            <rFont val="Tahoma"/>
            <family val="2"/>
          </rPr>
          <t>Enter R into noise equation.
en = sqrt(4*k*T*R)
k = 1.38e−23
T = 298 (25C in kelvins)</t>
        </r>
      </text>
    </comment>
    <comment ref="I43" authorId="0" shapeId="0" xr:uid="{0F692A2F-D6DE-423A-9D12-F4E2A28DCA43}">
      <text>
        <r>
          <rPr>
            <sz val="9"/>
            <color indexed="81"/>
            <rFont val="Tahoma"/>
            <family val="2"/>
          </rPr>
          <t>Wideband Noise
ΔVoffset = e*sqrt(fH*Kbw)*3*S</t>
        </r>
      </text>
    </comment>
    <comment ref="B44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N45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5" authorId="0" shapeId="0" xr:uid="{5481FCF4-3034-4662-AE84-1619799D29D8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6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6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4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5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5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<sst xmlns="http://schemas.openxmlformats.org/spreadsheetml/2006/main" count="350" uniqueCount="187">
  <si>
    <t>S</t>
  </si>
  <si>
    <t>R1</t>
  </si>
  <si>
    <t>R2</t>
  </si>
  <si>
    <t>K</t>
  </si>
  <si>
    <t>K'</t>
  </si>
  <si>
    <t>V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</si>
  <si>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</si>
  <si>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</si>
  <si>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</si>
  <si>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</si>
  <si>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</si>
  <si>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</si>
  <si>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unit</t>
  </si>
  <si>
    <t>Initial Errors</t>
  </si>
  <si>
    <t>ppm/C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</si>
  <si>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</si>
  <si>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</si>
  <si>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</si>
  <si>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</si>
  <si>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</si>
  <si>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</si>
  <si>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</si>
  <si>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</si>
  <si>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</si>
  <si>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</si>
  <si>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</si>
  <si>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</si>
  <si>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</si>
  <si>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</si>
  <si>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</si>
  <si>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</si>
  <si>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</si>
  <si>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</si>
  <si>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</si>
  <si>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</si>
  <si>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</si>
  <si>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</si>
  <si>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 xml:space="preserve">((K'-K)/K) / 0.01 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</si>
  <si>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</si>
  <si>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</si>
  <si>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</si>
  <si>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</si>
  <si>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</si>
  <si>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</si>
  <si>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</si>
  <si>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</si>
  <si>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</si>
  <si>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S   (How does each error source contribute to a signal Gain error)</t>
  </si>
  <si>
    <t>Offset Error RTI</t>
  </si>
  <si>
    <t>Components</t>
  </si>
  <si>
    <t>Name</t>
  </si>
  <si>
    <t>vin_FS</t>
  </si>
  <si>
    <t>Δvoffset_rti^2</t>
  </si>
  <si>
    <t>Drift Errors</t>
  </si>
  <si>
    <t>U1 voff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</si>
  <si>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</si>
  <si>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</si>
  <si>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</si>
  <si>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</si>
  <si>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</si>
  <si>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</si>
  <si>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</si>
  <si>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</si>
  <si>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</si>
  <si>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</si>
  <si>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</si>
  <si>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</si>
  <si>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</si>
  <si>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</si>
  <si>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</si>
  <si>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</si>
  <si>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S, Analysis Node</t>
  </si>
  <si>
    <t>S, vo</t>
  </si>
  <si>
    <t>vo</t>
  </si>
  <si>
    <t>vo_FS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</si>
  <si>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</si>
  <si>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</si>
  <si>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</si>
  <si>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</si>
  <si>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</si>
  <si>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</si>
  <si>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</si>
  <si>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</si>
  <si>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</si>
  <si>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</si>
  <si>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</si>
  <si>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</si>
  <si>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</si>
  <si>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</si>
  <si>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</si>
  <si>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</si>
  <si>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</si>
  <si>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</si>
  <si>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</si>
  <si>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</si>
  <si>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</si>
  <si>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OP001</t>
  </si>
  <si>
    <t>Root Sum Square</t>
  </si>
  <si>
    <t>Worst Case Analysis</t>
  </si>
  <si>
    <t>Max input signal</t>
  </si>
  <si>
    <t>Bandwidth</t>
  </si>
  <si>
    <t>V/rt(Hz)</t>
  </si>
  <si>
    <t>Filter</t>
  </si>
  <si>
    <t>Kbw</t>
  </si>
  <si>
    <t>A/rt(Hz)</t>
  </si>
  <si>
    <t>ew</t>
  </si>
  <si>
    <t>ef</t>
  </si>
  <si>
    <t>V*rt(Hz)</t>
  </si>
  <si>
    <t>U1 en 1/f</t>
  </si>
  <si>
    <t>U1 en wn</t>
  </si>
  <si>
    <t>Drift, Noise Errors</t>
  </si>
  <si>
    <t>fL</t>
  </si>
  <si>
    <t>fH</t>
  </si>
  <si>
    <t>iw</t>
  </si>
  <si>
    <t>Amp1 Noise</t>
  </si>
  <si>
    <t>if</t>
  </si>
  <si>
    <t>vo/vin = -R2/R1</t>
  </si>
  <si>
    <t>U1 voff TC</t>
  </si>
  <si>
    <t>voff TC</t>
  </si>
  <si>
    <t>www.ecircuitcenter.com</t>
  </si>
  <si>
    <t>Freq points</t>
  </si>
  <si>
    <t>fstart</t>
  </si>
  <si>
    <t>Npoints / dec</t>
  </si>
  <si>
    <t>Index</t>
  </si>
  <si>
    <t>f (Hz)</t>
  </si>
  <si>
    <t>ew*rt(fc)</t>
  </si>
  <si>
    <t>ew*rt(fc)/rt(f)</t>
  </si>
  <si>
    <t>1/f Noise Study</t>
  </si>
  <si>
    <t>Amp1 DC Errors</t>
  </si>
  <si>
    <t>A</t>
  </si>
  <si>
    <t>A/C</t>
  </si>
  <si>
    <t>Gains</t>
  </si>
  <si>
    <t>(input signal gain)</t>
  </si>
  <si>
    <t>-R2/R1</t>
  </si>
  <si>
    <t>-R2/(R1*1.01)</t>
  </si>
  <si>
    <t>-(R2*1.01)/R1</t>
  </si>
  <si>
    <t>S = vo / voff = R2/R1+1</t>
  </si>
  <si>
    <t>Resistor Noise</t>
  </si>
  <si>
    <t>en</t>
  </si>
  <si>
    <t>Resistor</t>
  </si>
  <si>
    <t>S = vo / inp = Rs*(R2/R1+1)</t>
  </si>
  <si>
    <t>U1 inp noise</t>
  </si>
  <si>
    <t>U1 inn noise</t>
  </si>
  <si>
    <t>U1 ibp</t>
  </si>
  <si>
    <t>U1 ibn</t>
  </si>
  <si>
    <t>S = vo / ibp = Rs*(R2/R1+1)</t>
  </si>
  <si>
    <t>S = vo / ibn =-R2</t>
  </si>
  <si>
    <t>U1 en noise</t>
  </si>
  <si>
    <t>S = vo / en = R2/R1+1</t>
  </si>
  <si>
    <t>S = vo / inn = -R2</t>
  </si>
  <si>
    <t xml:space="preserve"> </t>
  </si>
  <si>
    <t>A*rt(Hz)</t>
  </si>
  <si>
    <t>ibp_TC</t>
  </si>
  <si>
    <t>ibn_TC</t>
  </si>
  <si>
    <t>U1 ibp TC</t>
  </si>
  <si>
    <t>U1 ibn TC</t>
  </si>
  <si>
    <t>ibp</t>
  </si>
  <si>
    <t>ibn</t>
  </si>
  <si>
    <t>1/f constant</t>
  </si>
  <si>
    <t>f</t>
  </si>
  <si>
    <t>corner freq</t>
  </si>
  <si>
    <t>lowest freq</t>
  </si>
  <si>
    <t>ef (nV/rt(Hz)</t>
  </si>
  <si>
    <t>Drift, Noise</t>
  </si>
  <si>
    <t>Vpk</t>
  </si>
  <si>
    <t>Vrms</t>
  </si>
  <si>
    <t>er</t>
  </si>
  <si>
    <t>R1 er noise</t>
  </si>
  <si>
    <t>R2 er noise</t>
  </si>
  <si>
    <t>U1 inp wn</t>
  </si>
  <si>
    <t>U1 inp 1/f</t>
  </si>
  <si>
    <t>U1 inn wn</t>
  </si>
  <si>
    <t>U1 inn 1/f</t>
  </si>
  <si>
    <t>Offset Error RTI (V)</t>
  </si>
  <si>
    <t>(Vrms)</t>
  </si>
  <si>
    <t>R1 er (noise)</t>
  </si>
  <si>
    <t>R2 er (noise)</t>
  </si>
  <si>
    <t>S = vo / er1 = -R2/R1 (inverting gain)</t>
  </si>
  <si>
    <t>S = vo / er2 = 1 (unity gain)</t>
  </si>
  <si>
    <t>S = vo / erP = R2/R1+1 (non-inverting gain)</t>
  </si>
  <si>
    <t>RP er (noise)</t>
  </si>
  <si>
    <t>RP</t>
  </si>
  <si>
    <t>Circuit Calc - Amp 1, Inverting</t>
  </si>
  <si>
    <t>RP er noise</t>
  </si>
  <si>
    <t>rt(ew^2+ef^2)</t>
  </si>
  <si>
    <t>&lt;- should be constant (close result!)</t>
  </si>
  <si>
    <t>read from datasheet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</si>
</sst>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  <numFmt numFmtId="170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u/>
      <sz val="15.95"/>
      <color theme="10"/>
      <name val="Calibri"/>
      <family val="2"/>
    </font>
    <font>
      <i/>
      <u/>
      <sz val="10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  <xf numFmtId="0" fontId="0" fillId="0" borderId="0" xfId="0" quotePrefix="1" applyAlignment="1">
      <alignment horizontal="center"/>
    </xf>
    <xf numFmtId="3" fontId="0" fillId="0" borderId="0" xfId="0" applyNumberForma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3" applyFont="1" applyFill="1" applyBorder="1" applyAlignment="1" applyProtection="1"/>
    <xf numFmtId="0" fontId="17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1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1" fontId="0" fillId="4" borderId="0" xfId="0" applyNumberFormat="1" applyFill="1" applyAlignment="1">
      <alignment horizontal="center"/>
    </xf>
    <xf numFmtId="9" fontId="0" fillId="4" borderId="0" xfId="2" applyFon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8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70" fontId="0" fillId="0" borderId="0" xfId="0" applyNumberFormat="1" applyAlignment="1">
      <alignment horizontal="center"/>
    </xf>
  </cellXfs>
  <cellStyles count="4">
    <cellStyle name="Hyperlink 2" xfId="3" xr:uid="{F9F3D694-79A3-4CAB-ADB4-A3DC8C3D62E8}"/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cat>
            <c:strRef>
              <c:f>'Offset Errors'!$B$23:$B$26</c:f>
              <c:strCache>
                <c:ptCount val="4"/>
                <c:pt idx="0">
                  <c:v>U1 voff</c:v>
                </c:pt>
                <c:pt idx="1">
                  <c:v>U1 ibp</c:v>
                </c:pt>
                <c:pt idx="2">
                  <c:v>U1 ibn</c:v>
                </c:pt>
                <c:pt idx="3">
                  <c:v>end</c:v>
                </c:pt>
              </c:strCache>
            </c:strRef>
          </c:cat>
          <c:val>
            <c:numRef>
              <c:f>'Offset Errors'!$M$23:$M$26</c:f>
              <c:numCache>
                <c:formatCode>0.000000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Drift, Noise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629247811288528"/>
          <c:y val="0.2367144481901011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Errors'!$M$31</c:f>
              <c:strCache>
                <c:ptCount val="1"/>
                <c:pt idx="0">
                  <c:v>(Vrms)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EE-433C-96F2-D400F13474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EE-433C-96F2-D400F13474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EE-433C-96F2-D400F13474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27-4779-80DC-5D1BC355FC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70-4D54-8779-0D9E2FF7A6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70-4D54-8779-0D9E2FF7A6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75-439A-8538-9C5283EA559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875-439A-8538-9C5283EA559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875-439A-8538-9C5283EA5599}"/>
              </c:ext>
            </c:extLst>
          </c:dPt>
          <c:cat>
            <c:strRef>
              <c:f>'Offset Errors'!$B$32:$B$44</c:f>
              <c:strCache>
                <c:ptCount val="13"/>
                <c:pt idx="0">
                  <c:v>U1 voff TC</c:v>
                </c:pt>
                <c:pt idx="1">
                  <c:v>U1 ibp TC</c:v>
                </c:pt>
                <c:pt idx="2">
                  <c:v>U1 ibn TC</c:v>
                </c:pt>
                <c:pt idx="3">
                  <c:v>U1 en wn</c:v>
                </c:pt>
                <c:pt idx="4">
                  <c:v>U1 en 1/f</c:v>
                </c:pt>
                <c:pt idx="5">
                  <c:v>U1 inp wn</c:v>
                </c:pt>
                <c:pt idx="6">
                  <c:v>U1 inp 1/f</c:v>
                </c:pt>
                <c:pt idx="7">
                  <c:v>U1 inn wn</c:v>
                </c:pt>
                <c:pt idx="8">
                  <c:v>U1 inn 1/f</c:v>
                </c:pt>
                <c:pt idx="9">
                  <c:v>RP er noise</c:v>
                </c:pt>
                <c:pt idx="10">
                  <c:v>R1 er noise</c:v>
                </c:pt>
                <c:pt idx="11">
                  <c:v>R2 er noise</c:v>
                </c:pt>
                <c:pt idx="12">
                  <c:v>end</c:v>
                </c:pt>
              </c:strCache>
            </c:strRef>
          </c:cat>
          <c:val>
            <c:numRef>
              <c:f>'Offset Errors'!$M$32:$M$44</c:f>
              <c:numCache>
                <c:formatCode>0.000000</c:formatCode>
                <c:ptCount val="13"/>
                <c:pt idx="3" formatCode="0.00E+00">
                  <c:v>4.2234276467698596E-6</c:v>
                </c:pt>
                <c:pt idx="4" formatCode="0.00E+00">
                  <c:v>3.1087081658766444E-7</c:v>
                </c:pt>
                <c:pt idx="5" formatCode="0.00E+00">
                  <c:v>9.8546645091296743E-8</c:v>
                </c:pt>
                <c:pt idx="6" formatCode="0.00E+00">
                  <c:v>2.9258429796486072E-8</c:v>
                </c:pt>
                <c:pt idx="7" formatCode="0.00E+00">
                  <c:v>9.8546645091296743E-8</c:v>
                </c:pt>
                <c:pt idx="8" formatCode="0.00E+00">
                  <c:v>2.9258429796486072E-8</c:v>
                </c:pt>
                <c:pt idx="9" formatCode="0.00E+00">
                  <c:v>1.141961520956989E-6</c:v>
                </c:pt>
                <c:pt idx="10" formatCode="0.00E+00">
                  <c:v>1.1362941831409681E-6</c:v>
                </c:pt>
                <c:pt idx="11" formatCode="0.00E+00">
                  <c:v>1.1362941831409682E-7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72558213252064"/>
          <c:w val="0.34845467825256349"/>
          <c:h val="0.78598429303067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cat>
            <c:strRef>
              <c:f>'Gain Errors'!$B$23:$B$25</c:f>
              <c:strCache>
                <c:ptCount val="3"/>
                <c:pt idx="0">
                  <c:v>R2 Tol</c:v>
                </c:pt>
                <c:pt idx="1">
                  <c:v>R1 Tol</c:v>
                </c:pt>
                <c:pt idx="2">
                  <c:v>end</c:v>
                </c:pt>
              </c:strCache>
            </c:strRef>
          </c:cat>
          <c:val>
            <c:numRef>
              <c:f>'Gain Errors'!$M$23:$M$25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cat>
            <c:strRef>
              <c:f>'Gain Errors'!$B$32:$B$34</c:f>
              <c:strCache>
                <c:ptCount val="3"/>
                <c:pt idx="0">
                  <c:v>R2 TC</c:v>
                </c:pt>
                <c:pt idx="1">
                  <c:v>R1 TC</c:v>
                </c:pt>
                <c:pt idx="2">
                  <c:v>end</c:v>
                </c:pt>
              </c:strCache>
            </c:strRef>
          </c:cat>
          <c:val>
            <c:numRef>
              <c:f>'Gain Errors'!$M$32:$M$34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1/f and White Noise</a:t>
            </a:r>
          </a:p>
        </c:rich>
      </c:tx>
      <c:layout>
        <c:manualLayout>
          <c:xMode val="edge"/>
          <c:yMode val="edge"/>
          <c:x val="0.36646054433413222"/>
          <c:y val="2.5294550631922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84449889847967E-2"/>
          <c:y val="0.10779860302379424"/>
          <c:w val="0.87009930945610914"/>
          <c:h val="0.773985081052105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'1f Noise'!$D$15</c:f>
              <c:strCache>
                <c:ptCount val="1"/>
                <c:pt idx="0">
                  <c:v>ew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'1f Noise'!$C$16:$C$56</c:f>
              <c:numCache>
                <c:formatCode>#,##0.00</c:formatCode>
                <c:ptCount val="4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 formatCode="#,##0">
                  <c:v>100</c:v>
                </c:pt>
                <c:pt idx="21" formatCode="#,##0">
                  <c:v>125.89254117941677</c:v>
                </c:pt>
                <c:pt idx="22" formatCode="#,##0">
                  <c:v>158.48931924611153</c:v>
                </c:pt>
                <c:pt idx="23" formatCode="#,##0">
                  <c:v>199.52623149688802</c:v>
                </c:pt>
                <c:pt idx="24" formatCode="#,##0">
                  <c:v>251.18864315095806</c:v>
                </c:pt>
                <c:pt idx="25" formatCode="#,##0">
                  <c:v>316.22776601683825</c:v>
                </c:pt>
                <c:pt idx="26" formatCode="#,##0">
                  <c:v>398.10717055349761</c:v>
                </c:pt>
                <c:pt idx="27" formatCode="#,##0">
                  <c:v>501.18723362727269</c:v>
                </c:pt>
                <c:pt idx="28" formatCode="#,##0">
                  <c:v>630.95734448019323</c:v>
                </c:pt>
                <c:pt idx="29" formatCode="#,##0">
                  <c:v>794.32823472428208</c:v>
                </c:pt>
                <c:pt idx="30" formatCode="#,##0">
                  <c:v>1000</c:v>
                </c:pt>
                <c:pt idx="31" formatCode="#,##0">
                  <c:v>1258.925411794168</c:v>
                </c:pt>
                <c:pt idx="32" formatCode="#,##0">
                  <c:v>1584.8931924611156</c:v>
                </c:pt>
                <c:pt idx="33" formatCode="#,##0">
                  <c:v>1995.2623149688804</c:v>
                </c:pt>
                <c:pt idx="34" formatCode="#,##0">
                  <c:v>2511.8864315095811</c:v>
                </c:pt>
                <c:pt idx="35" formatCode="#,##0">
                  <c:v>3162.2776601683804</c:v>
                </c:pt>
                <c:pt idx="36" formatCode="#,##0">
                  <c:v>3981.0717055349769</c:v>
                </c:pt>
                <c:pt idx="37" formatCode="#,##0">
                  <c:v>5011.8723362727324</c:v>
                </c:pt>
                <c:pt idx="38" formatCode="#,##0">
                  <c:v>6309.5734448019384</c:v>
                </c:pt>
                <c:pt idx="39" formatCode="#,##0">
                  <c:v>7943.2823472428154</c:v>
                </c:pt>
                <c:pt idx="40" formatCode="#,##0">
                  <c:v>10000</c:v>
                </c:pt>
              </c:numCache>
            </c:numRef>
          </c:xVal>
          <c:yVal>
            <c:numRef>
              <c:f>'1f Noise'!$D$16:$D$56</c:f>
              <c:numCache>
                <c:formatCode>0.0</c:formatCode>
                <c:ptCount val="4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30-4905-BB41-EEFFD71B2B6B}"/>
            </c:ext>
          </c:extLst>
        </c:ser>
        <c:ser>
          <c:idx val="1"/>
          <c:order val="1"/>
          <c:tx>
            <c:strRef>
              <c:f>'1f Noise'!$E$15</c:f>
              <c:strCache>
                <c:ptCount val="1"/>
                <c:pt idx="0">
                  <c:v>ef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'1f Noise'!$C$16:$C$56</c:f>
              <c:numCache>
                <c:formatCode>#,##0.00</c:formatCode>
                <c:ptCount val="4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 formatCode="#,##0">
                  <c:v>100</c:v>
                </c:pt>
                <c:pt idx="21" formatCode="#,##0">
                  <c:v>125.89254117941677</c:v>
                </c:pt>
                <c:pt idx="22" formatCode="#,##0">
                  <c:v>158.48931924611153</c:v>
                </c:pt>
                <c:pt idx="23" formatCode="#,##0">
                  <c:v>199.52623149688802</c:v>
                </c:pt>
                <c:pt idx="24" formatCode="#,##0">
                  <c:v>251.18864315095806</c:v>
                </c:pt>
                <c:pt idx="25" formatCode="#,##0">
                  <c:v>316.22776601683825</c:v>
                </c:pt>
                <c:pt idx="26" formatCode="#,##0">
                  <c:v>398.10717055349761</c:v>
                </c:pt>
                <c:pt idx="27" formatCode="#,##0">
                  <c:v>501.18723362727269</c:v>
                </c:pt>
                <c:pt idx="28" formatCode="#,##0">
                  <c:v>630.95734448019323</c:v>
                </c:pt>
                <c:pt idx="29" formatCode="#,##0">
                  <c:v>794.32823472428208</c:v>
                </c:pt>
                <c:pt idx="30" formatCode="#,##0">
                  <c:v>1000</c:v>
                </c:pt>
                <c:pt idx="31" formatCode="#,##0">
                  <c:v>1258.925411794168</c:v>
                </c:pt>
                <c:pt idx="32" formatCode="#,##0">
                  <c:v>1584.8931924611156</c:v>
                </c:pt>
                <c:pt idx="33" formatCode="#,##0">
                  <c:v>1995.2623149688804</c:v>
                </c:pt>
                <c:pt idx="34" formatCode="#,##0">
                  <c:v>2511.8864315095811</c:v>
                </c:pt>
                <c:pt idx="35" formatCode="#,##0">
                  <c:v>3162.2776601683804</c:v>
                </c:pt>
                <c:pt idx="36" formatCode="#,##0">
                  <c:v>3981.0717055349769</c:v>
                </c:pt>
                <c:pt idx="37" formatCode="#,##0">
                  <c:v>5011.8723362727324</c:v>
                </c:pt>
                <c:pt idx="38" formatCode="#,##0">
                  <c:v>6309.5734448019384</c:v>
                </c:pt>
                <c:pt idx="39" formatCode="#,##0">
                  <c:v>7943.2823472428154</c:v>
                </c:pt>
                <c:pt idx="40" formatCode="#,##0">
                  <c:v>10000</c:v>
                </c:pt>
              </c:numCache>
            </c:numRef>
          </c:xVal>
          <c:yVal>
            <c:numRef>
              <c:f>'1f Noise'!$E$16:$E$56</c:f>
              <c:numCache>
                <c:formatCode>0.0</c:formatCode>
                <c:ptCount val="41"/>
                <c:pt idx="0">
                  <c:v>82.158383625774917</c:v>
                </c:pt>
                <c:pt idx="1">
                  <c:v>73.223736482024037</c:v>
                </c:pt>
                <c:pt idx="2">
                  <c:v>65.260723833262105</c:v>
                </c:pt>
                <c:pt idx="3">
                  <c:v>58.163681339682135</c:v>
                </c:pt>
                <c:pt idx="4">
                  <c:v>51.838435559303932</c:v>
                </c:pt>
                <c:pt idx="5">
                  <c:v>46.201054323615345</c:v>
                </c:pt>
                <c:pt idx="6">
                  <c:v>41.176733008690313</c:v>
                </c:pt>
                <c:pt idx="7">
                  <c:v>36.698801923278012</c:v>
                </c:pt>
                <c:pt idx="8">
                  <c:v>32.707841642506025</c:v>
                </c:pt>
                <c:pt idx="9">
                  <c:v>29.150894548213486</c:v>
                </c:pt>
                <c:pt idx="10">
                  <c:v>25.980762113533157</c:v>
                </c:pt>
                <c:pt idx="11">
                  <c:v>23.155378607116095</c:v>
                </c:pt>
                <c:pt idx="12">
                  <c:v>20.637252906434288</c:v>
                </c:pt>
                <c:pt idx="13">
                  <c:v>18.392971013362924</c:v>
                </c:pt>
                <c:pt idx="14">
                  <c:v>16.392752670726495</c:v>
                </c:pt>
                <c:pt idx="15">
                  <c:v>14.610056196379448</c:v>
                </c:pt>
                <c:pt idx="16">
                  <c:v>13.021226291209922</c:v>
                </c:pt>
                <c:pt idx="17">
                  <c:v>11.605180147692639</c:v>
                </c:pt>
                <c:pt idx="18">
                  <c:v>10.343127693842181</c:v>
                </c:pt>
                <c:pt idx="19">
                  <c:v>9.2183222603739683</c:v>
                </c:pt>
                <c:pt idx="20">
                  <c:v>8.2158383625774913</c:v>
                </c:pt>
                <c:pt idx="21">
                  <c:v>7.3223736482024044</c:v>
                </c:pt>
                <c:pt idx="22">
                  <c:v>6.5260723833262064</c:v>
                </c:pt>
                <c:pt idx="23">
                  <c:v>5.8163681339682123</c:v>
                </c:pt>
                <c:pt idx="24">
                  <c:v>5.1838435559303928</c:v>
                </c:pt>
                <c:pt idx="25">
                  <c:v>4.620105432361532</c:v>
                </c:pt>
                <c:pt idx="26">
                  <c:v>4.1176733008690301</c:v>
                </c:pt>
                <c:pt idx="27">
                  <c:v>3.6698801923277995</c:v>
                </c:pt>
                <c:pt idx="28">
                  <c:v>3.2707841642506028</c:v>
                </c:pt>
                <c:pt idx="29">
                  <c:v>2.9150894548213477</c:v>
                </c:pt>
                <c:pt idx="30">
                  <c:v>2.598076211353316</c:v>
                </c:pt>
                <c:pt idx="31">
                  <c:v>2.3155378607116095</c:v>
                </c:pt>
                <c:pt idx="32">
                  <c:v>2.0637252906434274</c:v>
                </c:pt>
                <c:pt idx="33">
                  <c:v>1.839297101336292</c:v>
                </c:pt>
                <c:pt idx="34">
                  <c:v>1.6392752670726491</c:v>
                </c:pt>
                <c:pt idx="35">
                  <c:v>1.4610056196379451</c:v>
                </c:pt>
                <c:pt idx="36">
                  <c:v>1.3021226291209922</c:v>
                </c:pt>
                <c:pt idx="37">
                  <c:v>1.1605180147692629</c:v>
                </c:pt>
                <c:pt idx="38">
                  <c:v>1.034312769384218</c:v>
                </c:pt>
                <c:pt idx="39">
                  <c:v>0.92183222603739701</c:v>
                </c:pt>
                <c:pt idx="40">
                  <c:v>0.82158383625774922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30-4905-BB41-EEFFD71B2B6B}"/>
            </c:ext>
          </c:extLst>
        </c:ser>
        <c:ser>
          <c:idx val="2"/>
          <c:order val="2"/>
          <c:tx>
            <c:strRef>
              <c:f>'1f Noise'!$F$15</c:f>
              <c:strCache>
                <c:ptCount val="1"/>
                <c:pt idx="0">
                  <c:v>en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'1f Noise'!$C$16:$C$56</c:f>
              <c:numCache>
                <c:formatCode>#,##0.00</c:formatCode>
                <c:ptCount val="4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 formatCode="#,##0">
                  <c:v>100</c:v>
                </c:pt>
                <c:pt idx="21" formatCode="#,##0">
                  <c:v>125.89254117941677</c:v>
                </c:pt>
                <c:pt idx="22" formatCode="#,##0">
                  <c:v>158.48931924611153</c:v>
                </c:pt>
                <c:pt idx="23" formatCode="#,##0">
                  <c:v>199.52623149688802</c:v>
                </c:pt>
                <c:pt idx="24" formatCode="#,##0">
                  <c:v>251.18864315095806</c:v>
                </c:pt>
                <c:pt idx="25" formatCode="#,##0">
                  <c:v>316.22776601683825</c:v>
                </c:pt>
                <c:pt idx="26" formatCode="#,##0">
                  <c:v>398.10717055349761</c:v>
                </c:pt>
                <c:pt idx="27" formatCode="#,##0">
                  <c:v>501.18723362727269</c:v>
                </c:pt>
                <c:pt idx="28" formatCode="#,##0">
                  <c:v>630.95734448019323</c:v>
                </c:pt>
                <c:pt idx="29" formatCode="#,##0">
                  <c:v>794.32823472428208</c:v>
                </c:pt>
                <c:pt idx="30" formatCode="#,##0">
                  <c:v>1000</c:v>
                </c:pt>
                <c:pt idx="31" formatCode="#,##0">
                  <c:v>1258.925411794168</c:v>
                </c:pt>
                <c:pt idx="32" formatCode="#,##0">
                  <c:v>1584.8931924611156</c:v>
                </c:pt>
                <c:pt idx="33" formatCode="#,##0">
                  <c:v>1995.2623149688804</c:v>
                </c:pt>
                <c:pt idx="34" formatCode="#,##0">
                  <c:v>2511.8864315095811</c:v>
                </c:pt>
                <c:pt idx="35" formatCode="#,##0">
                  <c:v>3162.2776601683804</c:v>
                </c:pt>
                <c:pt idx="36" formatCode="#,##0">
                  <c:v>3981.0717055349769</c:v>
                </c:pt>
                <c:pt idx="37" formatCode="#,##0">
                  <c:v>5011.8723362727324</c:v>
                </c:pt>
                <c:pt idx="38" formatCode="#,##0">
                  <c:v>6309.5734448019384</c:v>
                </c:pt>
                <c:pt idx="39" formatCode="#,##0">
                  <c:v>7943.2823472428154</c:v>
                </c:pt>
                <c:pt idx="40" formatCode="#,##0">
                  <c:v>10000</c:v>
                </c:pt>
              </c:numCache>
            </c:numRef>
          </c:xVal>
          <c:yVal>
            <c:numRef>
              <c:f>'1f Noise'!$F$16:$F$56</c:f>
              <c:numCache>
                <c:formatCode>0.0</c:formatCode>
                <c:ptCount val="41"/>
                <c:pt idx="0">
                  <c:v>83.516465442450325</c:v>
                </c:pt>
                <c:pt idx="1">
                  <c:v>74.744334797955744</c:v>
                </c:pt>
                <c:pt idx="2">
                  <c:v>66.96239299219603</c:v>
                </c:pt>
                <c:pt idx="3">
                  <c:v>60.066744767667309</c:v>
                </c:pt>
                <c:pt idx="4">
                  <c:v>53.965020163399423</c:v>
                </c:pt>
                <c:pt idx="5">
                  <c:v>48.575069949652736</c:v>
                </c:pt>
                <c:pt idx="6">
                  <c:v>43.823775981411806</c:v>
                </c:pt>
                <c:pt idx="7">
                  <c:v>39.645958969408142</c:v>
                </c:pt>
                <c:pt idx="8">
                  <c:v>35.983369838180124</c:v>
                </c:pt>
                <c:pt idx="9">
                  <c:v>32.783755931269724</c:v>
                </c:pt>
                <c:pt idx="10">
                  <c:v>29.999999999999996</c:v>
                </c:pt>
                <c:pt idx="11">
                  <c:v>27.589337767313115</c:v>
                </c:pt>
                <c:pt idx="12">
                  <c:v>25.512667589339426</c:v>
                </c:pt>
                <c:pt idx="13">
                  <c:v>23.733971068879494</c:v>
                </c:pt>
                <c:pt idx="14">
                  <c:v>22.219863638726736</c:v>
                </c:pt>
                <c:pt idx="15">
                  <c:v>20.939287047589882</c:v>
                </c:pt>
                <c:pt idx="16">
                  <c:v>19.863341464287839</c:v>
                </c:pt>
                <c:pt idx="17">
                  <c:v>18.965236783662874</c:v>
                </c:pt>
                <c:pt idx="18">
                  <c:v>18.220326300347232</c:v>
                </c:pt>
                <c:pt idx="19">
                  <c:v>17.606176907440929</c:v>
                </c:pt>
                <c:pt idx="20">
                  <c:v>17.102631376487071</c:v>
                </c:pt>
                <c:pt idx="21">
                  <c:v>16.691829014337795</c:v>
                </c:pt>
                <c:pt idx="22">
                  <c:v>16.35816679070161</c:v>
                </c:pt>
                <c:pt idx="23">
                  <c:v>16.088198726701535</c:v>
                </c:pt>
                <c:pt idx="24">
                  <c:v>15.870483105827656</c:v>
                </c:pt>
                <c:pt idx="25">
                  <c:v>15.695393407179591</c:v>
                </c:pt>
                <c:pt idx="26">
                  <c:v>15.554910266944315</c:v>
                </c:pt>
                <c:pt idx="27">
                  <c:v>15.442409806310669</c:v>
                </c:pt>
                <c:pt idx="28">
                  <c:v>15.352460032487057</c:v>
                </c:pt>
                <c:pt idx="29">
                  <c:v>15.280633053954624</c:v>
                </c:pt>
                <c:pt idx="30">
                  <c:v>15.22333734763833</c:v>
                </c:pt>
                <c:pt idx="31">
                  <c:v>15.177671612747091</c:v>
                </c:pt>
                <c:pt idx="32">
                  <c:v>15.141299880632484</c:v>
                </c:pt>
                <c:pt idx="33">
                  <c:v>15.112346403751605</c:v>
                </c:pt>
                <c:pt idx="34">
                  <c:v>15.089308247936222</c:v>
                </c:pt>
                <c:pt idx="35">
                  <c:v>15.070983293090523</c:v>
                </c:pt>
                <c:pt idx="36">
                  <c:v>15.056411369953631</c:v>
                </c:pt>
                <c:pt idx="37">
                  <c:v>15.044826421817035</c:v>
                </c:pt>
                <c:pt idx="38">
                  <c:v>15.035617809219255</c:v>
                </c:pt>
                <c:pt idx="39">
                  <c:v>15.02829912707892</c:v>
                </c:pt>
                <c:pt idx="40">
                  <c:v>15.022483150265138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30-4905-BB41-EEFFD71B2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463119"/>
        <c:axId val="1250460719"/>
      </c:scatterChart>
      <c:valAx>
        <c:axId val="125046311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460719"/>
        <c:crossesAt val="1"/>
        <c:crossBetween val="midCat"/>
      </c:valAx>
      <c:valAx>
        <c:axId val="1250460719"/>
        <c:scaling>
          <c:logBase val="10"/>
          <c:orientation val="minMax"/>
          <c:max val="1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463119"/>
        <c:crossesAt val="0.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79127692915015346"/>
          <c:y val="0.1311983503148057"/>
          <c:w val="0.1371580794248545"/>
          <c:h val="0.1444363627331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5</xdr:row>
      <xdr:rowOff>112058</xdr:rowOff>
    </xdr:from>
    <xdr:to>
      <xdr:col>9</xdr:col>
      <xdr:colOff>814294</xdr:colOff>
      <xdr:row>16</xdr:row>
      <xdr:rowOff>134470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1019729</xdr:colOff>
      <xdr:row>5</xdr:row>
      <xdr:rowOff>89646</xdr:rowOff>
    </xdr:from>
    <xdr:to>
      <xdr:col>13</xdr:col>
      <xdr:colOff>500529</xdr:colOff>
      <xdr:row>16</xdr:row>
      <xdr:rowOff>186764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164353</xdr:colOff>
      <xdr:row>13</xdr:row>
      <xdr:rowOff>16009</xdr:rowOff>
    </xdr:from>
    <xdr:to>
      <xdr:col>16</xdr:col>
      <xdr:colOff>272785</xdr:colOff>
      <xdr:row>32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A87D74-FB46-00E3-C9FE-D7F1F31A0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circuit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56"/>
  <sheetViews>
    <sheetView tabSelected="1" zoomScale="70" zoomScaleNormal="70" workbookViewId="0">
      <selection activeCell="H10" sqref="H10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3" t="s">
        <v>182</v>
      </c>
      <c r="F1" s="1"/>
    </row>
    <row r="2" spans="1:8" ht="18.5" x14ac:dyDescent="0.45">
      <c r="A2" s="47" t="s">
        <v>92</v>
      </c>
      <c r="E2" s="3"/>
      <c r="F2" s="2" t="s">
        <v>15</v>
      </c>
    </row>
    <row r="3" spans="1:8" x14ac:dyDescent="0.35">
      <c r="E3" s="4"/>
      <c r="F3" s="2" t="s">
        <v>16</v>
      </c>
      <c r="H3" s="1"/>
    </row>
    <row r="4" spans="1:8" x14ac:dyDescent="0.35">
      <c r="F4" s="1"/>
      <c r="G4" s="1"/>
      <c r="H4" s="1"/>
    </row>
    <row r="5" spans="1:8" x14ac:dyDescent="0.35">
      <c r="A5" s="5" t="s">
        <v>63</v>
      </c>
      <c r="B5" s="5"/>
      <c r="C5" s="5"/>
      <c r="D5" s="5"/>
      <c r="E5" s="5"/>
    </row>
    <row r="7" spans="1:8" x14ac:dyDescent="0.35">
      <c r="A7" t="s">
        <v>49</v>
      </c>
      <c r="B7" s="3" t="s">
        <v>1</v>
      </c>
      <c r="C7" s="49">
        <v>1010</v>
      </c>
      <c r="D7" t="s">
        <v>9</v>
      </c>
    </row>
    <row r="8" spans="1:8" x14ac:dyDescent="0.35">
      <c r="B8" s="3" t="s">
        <v>2</v>
      </c>
      <c r="C8" s="49">
        <v>101000</v>
      </c>
      <c r="D8" t="s">
        <v>9</v>
      </c>
    </row>
    <row r="10" spans="1:8" x14ac:dyDescent="0.35">
      <c r="B10" s="3" t="s">
        <v>181</v>
      </c>
      <c r="C10" s="49">
        <v>1000</v>
      </c>
      <c r="D10" t="s">
        <v>9</v>
      </c>
    </row>
    <row r="12" spans="1:8" x14ac:dyDescent="0.35">
      <c r="A12" t="s">
        <v>131</v>
      </c>
      <c r="B12" s="4" t="s">
        <v>3</v>
      </c>
      <c r="C12" s="10">
        <f>-$C$8/$C$7</f>
        <v>-100</v>
      </c>
      <c r="D12" t="s">
        <v>116</v>
      </c>
      <c r="F12" t="s">
        <v>132</v>
      </c>
    </row>
    <row r="14" spans="1:8" x14ac:dyDescent="0.35">
      <c r="A14" t="s">
        <v>57</v>
      </c>
      <c r="B14" s="3" t="s">
        <v>51</v>
      </c>
      <c r="C14" s="6">
        <v>-0.05</v>
      </c>
      <c r="D14" s="19" t="s">
        <v>99</v>
      </c>
    </row>
    <row r="15" spans="1:8" x14ac:dyDescent="0.35">
      <c r="B15" s="4" t="s">
        <v>74</v>
      </c>
      <c r="C15" s="10">
        <f>C14*C12</f>
        <v>5</v>
      </c>
      <c r="D15" t="s">
        <v>75</v>
      </c>
    </row>
    <row r="18" spans="1:10" x14ac:dyDescent="0.35">
      <c r="A18" s="15" t="s">
        <v>40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35">
      <c r="A19" t="s">
        <v>91</v>
      </c>
      <c r="B19" s="9"/>
      <c r="E19" s="9"/>
    </row>
    <row r="20" spans="1:10" x14ac:dyDescent="0.35">
      <c r="A20" s="7"/>
      <c r="B20" s="9"/>
      <c r="E20" s="9"/>
    </row>
    <row r="21" spans="1:10" x14ac:dyDescent="0.35">
      <c r="A21" s="8"/>
      <c r="B21" t="s">
        <v>71</v>
      </c>
    </row>
    <row r="22" spans="1:10" x14ac:dyDescent="0.35">
      <c r="A22" s="11" t="s">
        <v>54</v>
      </c>
      <c r="B22" s="4" t="s">
        <v>72</v>
      </c>
      <c r="C22" s="16">
        <f>$C$8/$C$7+1</f>
        <v>101</v>
      </c>
      <c r="D22" s="2" t="s">
        <v>136</v>
      </c>
    </row>
    <row r="23" spans="1:10" x14ac:dyDescent="0.35">
      <c r="A23" s="11"/>
      <c r="C23" s="10"/>
    </row>
    <row r="24" spans="1:10" x14ac:dyDescent="0.35">
      <c r="A24" s="11" t="s">
        <v>143</v>
      </c>
      <c r="B24" s="4" t="s">
        <v>72</v>
      </c>
      <c r="C24" s="16">
        <f>$C$10*($C$8/$C$7+1)</f>
        <v>101000</v>
      </c>
      <c r="D24" s="2" t="s">
        <v>145</v>
      </c>
    </row>
    <row r="25" spans="1:10" x14ac:dyDescent="0.35">
      <c r="A25" s="11"/>
      <c r="C25" s="10"/>
      <c r="D25" s="2"/>
    </row>
    <row r="26" spans="1:10" x14ac:dyDescent="0.35">
      <c r="A26" s="11" t="s">
        <v>144</v>
      </c>
      <c r="B26" s="4" t="s">
        <v>72</v>
      </c>
      <c r="C26" s="16">
        <f>-$C$8</f>
        <v>-101000</v>
      </c>
      <c r="D26" s="2" t="s">
        <v>146</v>
      </c>
    </row>
    <row r="27" spans="1:10" x14ac:dyDescent="0.35">
      <c r="A27" s="11"/>
      <c r="C27" s="16"/>
      <c r="D27" s="2"/>
    </row>
    <row r="28" spans="1:10" x14ac:dyDescent="0.35">
      <c r="A28" s="11" t="s">
        <v>147</v>
      </c>
      <c r="B28" s="4" t="s">
        <v>72</v>
      </c>
      <c r="C28" s="16">
        <f>$C$8/$C$7+1</f>
        <v>101</v>
      </c>
      <c r="D28" s="2" t="s">
        <v>148</v>
      </c>
    </row>
    <row r="29" spans="1:10" x14ac:dyDescent="0.35">
      <c r="A29" s="11"/>
      <c r="C29" s="10"/>
    </row>
    <row r="30" spans="1:10" x14ac:dyDescent="0.35">
      <c r="A30" s="11" t="s">
        <v>141</v>
      </c>
      <c r="B30" s="4" t="s">
        <v>72</v>
      </c>
      <c r="C30" s="16">
        <f>$C$10*($C$8/$C$7+1)</f>
        <v>101000</v>
      </c>
      <c r="D30" s="2" t="s">
        <v>140</v>
      </c>
    </row>
    <row r="31" spans="1:10" x14ac:dyDescent="0.35">
      <c r="A31" s="11"/>
      <c r="C31" s="10"/>
      <c r="D31" s="2"/>
    </row>
    <row r="32" spans="1:10" x14ac:dyDescent="0.35">
      <c r="A32" s="11" t="s">
        <v>142</v>
      </c>
      <c r="B32" s="4" t="s">
        <v>72</v>
      </c>
      <c r="C32" s="16">
        <f>-$C$8</f>
        <v>-101000</v>
      </c>
      <c r="D32" s="2" t="s">
        <v>149</v>
      </c>
    </row>
    <row r="33" spans="1:10" x14ac:dyDescent="0.35">
      <c r="A33" s="11"/>
      <c r="C33" s="10"/>
      <c r="D33" s="2"/>
    </row>
    <row r="34" spans="1:10" x14ac:dyDescent="0.35">
      <c r="A34" s="11" t="s">
        <v>175</v>
      </c>
      <c r="B34" s="4" t="s">
        <v>72</v>
      </c>
      <c r="C34" s="16">
        <f>-$C$8/$C$7</f>
        <v>-100</v>
      </c>
      <c r="D34" s="2" t="s">
        <v>177</v>
      </c>
    </row>
    <row r="35" spans="1:10" x14ac:dyDescent="0.35">
      <c r="A35" s="11"/>
      <c r="C35" s="16"/>
      <c r="D35" s="2"/>
    </row>
    <row r="36" spans="1:10" x14ac:dyDescent="0.35">
      <c r="A36" s="11" t="s">
        <v>176</v>
      </c>
      <c r="B36" s="4" t="s">
        <v>72</v>
      </c>
      <c r="C36" s="16">
        <v>1</v>
      </c>
      <c r="D36" s="2" t="s">
        <v>178</v>
      </c>
    </row>
    <row r="37" spans="1:10" x14ac:dyDescent="0.35">
      <c r="A37" s="11"/>
      <c r="C37" s="10"/>
      <c r="D37" s="2"/>
    </row>
    <row r="38" spans="1:10" x14ac:dyDescent="0.35">
      <c r="A38" s="11" t="s">
        <v>180</v>
      </c>
      <c r="B38" s="4" t="s">
        <v>72</v>
      </c>
      <c r="C38" s="16">
        <f>$C$8/$C$7+1</f>
        <v>101</v>
      </c>
      <c r="D38" s="2" t="s">
        <v>179</v>
      </c>
    </row>
    <row r="39" spans="1:10" x14ac:dyDescent="0.35">
      <c r="A39" s="11"/>
      <c r="C39" s="10"/>
      <c r="D39" s="2"/>
    </row>
    <row r="40" spans="1:10" x14ac:dyDescent="0.35">
      <c r="A40" s="8"/>
      <c r="D40" s="2"/>
    </row>
    <row r="41" spans="1:10" x14ac:dyDescent="0.3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35">
      <c r="A42" t="s">
        <v>47</v>
      </c>
      <c r="B42" s="9"/>
      <c r="E42" s="9"/>
    </row>
    <row r="43" spans="1:10" x14ac:dyDescent="0.35">
      <c r="A43" s="12"/>
      <c r="B43" s="1"/>
      <c r="D43" s="1"/>
      <c r="E43" s="11"/>
    </row>
    <row r="44" spans="1:10" x14ac:dyDescent="0.35">
      <c r="A44" s="11" t="s">
        <v>1</v>
      </c>
      <c r="B44" s="4" t="s">
        <v>3</v>
      </c>
      <c r="C44" s="25">
        <f>-$C$8/$C$7</f>
        <v>-100</v>
      </c>
      <c r="D44" s="19" t="s">
        <v>133</v>
      </c>
      <c r="F44" s="13" t="s">
        <v>10</v>
      </c>
    </row>
    <row r="45" spans="1:10" x14ac:dyDescent="0.35">
      <c r="A45" s="8"/>
      <c r="B45" s="4" t="s">
        <v>4</v>
      </c>
      <c r="C45" s="25">
        <f>-$C$8/($C$7*1.01)</f>
        <v>-99.009900990099013</v>
      </c>
      <c r="D45" s="19" t="s">
        <v>134</v>
      </c>
      <c r="F45" s="13" t="s">
        <v>62</v>
      </c>
    </row>
    <row r="46" spans="1:10" x14ac:dyDescent="0.35">
      <c r="A46" s="8"/>
      <c r="B46" s="4" t="s">
        <v>0</v>
      </c>
      <c r="C46" s="25">
        <f>((C45-C44)/C44)/0.01</f>
        <v>-0.99009900990098754</v>
      </c>
      <c r="D46" s="2" t="s">
        <v>37</v>
      </c>
      <c r="F46" t="s">
        <v>11</v>
      </c>
    </row>
    <row r="48" spans="1:10" x14ac:dyDescent="0.35">
      <c r="A48" s="11" t="s">
        <v>2</v>
      </c>
      <c r="B48" s="4" t="s">
        <v>3</v>
      </c>
      <c r="C48" s="25">
        <f>-$C$8/$C$7</f>
        <v>-100</v>
      </c>
      <c r="D48" s="19" t="s">
        <v>133</v>
      </c>
    </row>
    <row r="49" spans="1:7" x14ac:dyDescent="0.35">
      <c r="A49" s="8"/>
      <c r="B49" s="4" t="s">
        <v>4</v>
      </c>
      <c r="C49" s="25">
        <f>-$C$8*1.01/$C$7</f>
        <v>-101</v>
      </c>
      <c r="D49" s="19" t="s">
        <v>135</v>
      </c>
    </row>
    <row r="50" spans="1:7" x14ac:dyDescent="0.35">
      <c r="A50" s="8"/>
      <c r="B50" s="4" t="s">
        <v>0</v>
      </c>
      <c r="C50" s="25">
        <f>((C49-C48)/C48)/0.01</f>
        <v>1</v>
      </c>
      <c r="D50" s="2" t="s">
        <v>37</v>
      </c>
      <c r="F50" s="25"/>
      <c r="G50" s="19"/>
    </row>
    <row r="53" spans="1:7" x14ac:dyDescent="0.35">
      <c r="A53" t="s">
        <v>38</v>
      </c>
      <c r="B53" s="9"/>
      <c r="D53" s="2"/>
    </row>
    <row r="54" spans="1:7" x14ac:dyDescent="0.35">
      <c r="A54" t="s">
        <v>30</v>
      </c>
      <c r="B54" s="9"/>
      <c r="D54" s="2"/>
    </row>
    <row r="55" spans="1:7" x14ac:dyDescent="0.35">
      <c r="A55" t="s">
        <v>29</v>
      </c>
      <c r="B55" s="9"/>
      <c r="D55" s="2"/>
    </row>
    <row r="56" spans="1:7" x14ac:dyDescent="0.35">
      <c r="A56" t="s">
        <v>55</v>
      </c>
      <c r="B56" s="9"/>
      <c r="D56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O47"/>
  <sheetViews>
    <sheetView zoomScale="70" zoomScaleNormal="70" workbookViewId="0">
      <selection activeCell="C15" sqref="C15"/>
    </sheetView>
  </sheetViews>
  <sheetFormatPr defaultRowHeight="14.5" x14ac:dyDescent="0.35"/>
  <cols>
    <col min="1" max="1" width="16.1796875" customWidth="1"/>
    <col min="2" max="2" width="14.1796875" customWidth="1"/>
    <col min="3" max="3" width="12.453125" customWidth="1"/>
    <col min="4" max="4" width="11.54296875" customWidth="1"/>
    <col min="5" max="5" width="11.1796875" customWidth="1"/>
    <col min="6" max="6" width="12.453125" customWidth="1"/>
    <col min="7" max="7" width="15.81640625" customWidth="1"/>
    <col min="8" max="8" width="16.81640625" customWidth="1"/>
    <col min="9" max="9" width="17.54296875" customWidth="1"/>
    <col min="10" max="10" width="16" customWidth="1"/>
    <col min="11" max="11" width="13.81640625" customWidth="1"/>
    <col min="12" max="12" width="7.08984375" customWidth="1"/>
    <col min="13" max="13" width="16.54296875" customWidth="1"/>
    <col min="14" max="14" width="14.54296875" customWidth="1"/>
    <col min="15" max="15" width="12" bestFit="1" customWidth="1"/>
  </cols>
  <sheetData>
    <row r="1" spans="1:13" ht="21" x14ac:dyDescent="0.5">
      <c r="A1" s="43" t="s">
        <v>93</v>
      </c>
      <c r="F1" s="1"/>
      <c r="G1" s="1"/>
      <c r="H1" s="1"/>
    </row>
    <row r="2" spans="1:13" ht="18.5" x14ac:dyDescent="0.45">
      <c r="A2" s="44"/>
      <c r="E2" s="3"/>
      <c r="F2" s="2" t="s">
        <v>15</v>
      </c>
      <c r="G2" s="2"/>
      <c r="H2" s="2"/>
    </row>
    <row r="3" spans="1:13" x14ac:dyDescent="0.35">
      <c r="E3" s="4"/>
      <c r="F3" s="2" t="s">
        <v>16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B7" s="48" t="s">
        <v>23</v>
      </c>
      <c r="C7" s="48" t="s">
        <v>100</v>
      </c>
      <c r="D7" s="48"/>
      <c r="E7" s="48" t="s">
        <v>102</v>
      </c>
      <c r="G7" s="1"/>
      <c r="H7" s="1"/>
      <c r="I7" s="1"/>
      <c r="J7" s="1"/>
    </row>
    <row r="8" spans="1:13" x14ac:dyDescent="0.35">
      <c r="B8" s="38" t="s">
        <v>95</v>
      </c>
      <c r="C8" s="38" t="s">
        <v>111</v>
      </c>
      <c r="D8" s="38" t="s">
        <v>112</v>
      </c>
      <c r="E8" s="38" t="s">
        <v>103</v>
      </c>
      <c r="G8" s="1"/>
      <c r="H8" s="1"/>
      <c r="I8" s="1"/>
      <c r="J8" s="1"/>
    </row>
    <row r="9" spans="1:13" x14ac:dyDescent="0.35">
      <c r="B9" s="10">
        <v>30</v>
      </c>
      <c r="C9" s="77">
        <v>0.1</v>
      </c>
      <c r="D9" s="49">
        <v>49500</v>
      </c>
      <c r="E9" s="25">
        <v>1.57</v>
      </c>
    </row>
    <row r="10" spans="1:13" x14ac:dyDescent="0.35">
      <c r="C10" s="10"/>
      <c r="D10" s="19"/>
    </row>
    <row r="11" spans="1:13" x14ac:dyDescent="0.35">
      <c r="B11" s="31" t="s">
        <v>89</v>
      </c>
      <c r="C11" t="s">
        <v>56</v>
      </c>
      <c r="D11" s="10"/>
      <c r="E11" s="10"/>
      <c r="F11" s="1" t="s">
        <v>88</v>
      </c>
    </row>
    <row r="12" spans="1:13" x14ac:dyDescent="0.35">
      <c r="A12" s="32" t="s">
        <v>18</v>
      </c>
      <c r="B12" s="40" t="s">
        <v>58</v>
      </c>
      <c r="C12" s="4" t="s">
        <v>20</v>
      </c>
      <c r="D12" s="4" t="s">
        <v>163</v>
      </c>
      <c r="E12" s="41" t="s">
        <v>21</v>
      </c>
      <c r="F12" s="4" t="s">
        <v>24</v>
      </c>
      <c r="G12" s="41" t="s">
        <v>26</v>
      </c>
    </row>
    <row r="13" spans="1:13" x14ac:dyDescent="0.35">
      <c r="A13" s="2" t="s">
        <v>90</v>
      </c>
      <c r="B13" s="9">
        <v>1E-4</v>
      </c>
      <c r="C13" s="28">
        <f>N28</f>
        <v>0</v>
      </c>
      <c r="D13" s="17">
        <f>N46</f>
        <v>1.3604022228396291E-5</v>
      </c>
      <c r="E13" s="75">
        <f>C13+D13</f>
        <v>1.3604022228396291E-5</v>
      </c>
      <c r="F13" s="16">
        <f>(B13-E13)/B13*100</f>
        <v>86.395977771603711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7">
        <f>E13/3</f>
        <v>4.5346740761320969E-6</v>
      </c>
      <c r="F15" s="2" t="s">
        <v>165</v>
      </c>
    </row>
    <row r="16" spans="1:13" x14ac:dyDescent="0.35">
      <c r="B16" s="1"/>
      <c r="C16" s="25"/>
      <c r="E16" s="1"/>
      <c r="F16" s="2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32" t="s">
        <v>13</v>
      </c>
      <c r="B21" s="32"/>
      <c r="C21" s="35"/>
      <c r="D21" s="36" t="s">
        <v>43</v>
      </c>
      <c r="E21" s="36" t="s">
        <v>44</v>
      </c>
      <c r="F21" s="36"/>
      <c r="G21" s="36" t="s">
        <v>76</v>
      </c>
      <c r="H21" s="36" t="s">
        <v>42</v>
      </c>
      <c r="I21" s="39" t="s">
        <v>81</v>
      </c>
      <c r="J21" s="36" t="s">
        <v>78</v>
      </c>
      <c r="K21" s="39" t="s">
        <v>48</v>
      </c>
      <c r="M21" s="31"/>
      <c r="N21" s="31" t="s">
        <v>97</v>
      </c>
    </row>
    <row r="22" spans="1:14" ht="29" x14ac:dyDescent="0.35">
      <c r="A22" s="22" t="s">
        <v>36</v>
      </c>
      <c r="B22" s="22" t="s">
        <v>50</v>
      </c>
      <c r="C22" s="22" t="s">
        <v>64</v>
      </c>
      <c r="D22" s="30" t="s">
        <v>17</v>
      </c>
      <c r="E22" s="30" t="s">
        <v>17</v>
      </c>
      <c r="F22" s="22" t="s">
        <v>12</v>
      </c>
      <c r="G22" s="30" t="s">
        <v>77</v>
      </c>
      <c r="H22" s="23" t="s">
        <v>0</v>
      </c>
      <c r="I22" s="46" t="s">
        <v>83</v>
      </c>
      <c r="J22" s="24" t="s">
        <v>79</v>
      </c>
      <c r="K22" s="46" t="s">
        <v>80</v>
      </c>
      <c r="M22" s="24"/>
      <c r="N22" s="24" t="s">
        <v>52</v>
      </c>
    </row>
    <row r="23" spans="1:14" x14ac:dyDescent="0.35">
      <c r="A23" s="1" t="s">
        <v>128</v>
      </c>
      <c r="B23" s="1" t="s">
        <v>54</v>
      </c>
      <c r="C23" s="1" t="s">
        <v>96</v>
      </c>
      <c r="D23" s="1" t="s">
        <v>70</v>
      </c>
      <c r="E23" s="17">
        <v>0</v>
      </c>
      <c r="F23" s="21" t="s">
        <v>5</v>
      </c>
      <c r="G23" s="14" t="s">
        <v>73</v>
      </c>
      <c r="H23" s="25">
        <f>Amp1_Calc!$C$22</f>
        <v>101</v>
      </c>
      <c r="I23" s="28">
        <f>E23*H23</f>
        <v>0</v>
      </c>
      <c r="J23" s="10">
        <f>Amp1_Calc!$C$12</f>
        <v>-100</v>
      </c>
      <c r="K23" s="28">
        <f>I23*1/J23</f>
        <v>0</v>
      </c>
      <c r="L23" s="2" t="s">
        <v>5</v>
      </c>
      <c r="M23" s="28"/>
      <c r="N23" s="17">
        <f>K23^2</f>
        <v>0</v>
      </c>
    </row>
    <row r="24" spans="1:14" x14ac:dyDescent="0.35">
      <c r="A24" s="1" t="s">
        <v>35</v>
      </c>
      <c r="B24" s="1" t="s">
        <v>143</v>
      </c>
      <c r="C24" s="1" t="s">
        <v>96</v>
      </c>
      <c r="D24" s="1" t="s">
        <v>156</v>
      </c>
      <c r="E24" s="17">
        <v>0</v>
      </c>
      <c r="F24" s="1" t="s">
        <v>129</v>
      </c>
      <c r="G24" s="14" t="s">
        <v>73</v>
      </c>
      <c r="H24" s="16">
        <f>Amp1_Calc!$C$24</f>
        <v>101000</v>
      </c>
      <c r="I24" s="28">
        <f>E24*H24</f>
        <v>0</v>
      </c>
      <c r="J24" s="10">
        <f>Amp1_Calc!$C$12</f>
        <v>-100</v>
      </c>
      <c r="K24" s="28">
        <f>I24*1/J24</f>
        <v>0</v>
      </c>
      <c r="L24" s="2" t="s">
        <v>5</v>
      </c>
      <c r="M24" s="28"/>
      <c r="N24" s="17">
        <f>K24^2</f>
        <v>0</v>
      </c>
    </row>
    <row r="25" spans="1:14" x14ac:dyDescent="0.35">
      <c r="A25" s="1" t="s">
        <v>35</v>
      </c>
      <c r="B25" s="1" t="s">
        <v>144</v>
      </c>
      <c r="C25" s="1" t="s">
        <v>96</v>
      </c>
      <c r="D25" s="1" t="s">
        <v>157</v>
      </c>
      <c r="E25" s="17">
        <v>0</v>
      </c>
      <c r="F25" s="1" t="s">
        <v>129</v>
      </c>
      <c r="G25" s="14" t="s">
        <v>73</v>
      </c>
      <c r="H25" s="16">
        <f>Amp1_Calc!$C$26</f>
        <v>-101000</v>
      </c>
      <c r="I25" s="28">
        <f>E25*H25</f>
        <v>0</v>
      </c>
      <c r="J25" s="10">
        <f>Amp1_Calc!$C$12</f>
        <v>-100</v>
      </c>
      <c r="K25" s="28">
        <f>I25*1/J25</f>
        <v>0</v>
      </c>
      <c r="L25" s="2" t="s">
        <v>5</v>
      </c>
      <c r="M25" s="28"/>
      <c r="N25" s="17">
        <f>K25^2</f>
        <v>0</v>
      </c>
    </row>
    <row r="26" spans="1:14" x14ac:dyDescent="0.35">
      <c r="B26" s="1" t="s">
        <v>22</v>
      </c>
      <c r="E26" s="17"/>
      <c r="F26" s="1"/>
      <c r="G26" s="14"/>
      <c r="H26" s="16"/>
      <c r="I26" s="18"/>
      <c r="J26" s="10"/>
      <c r="K26" s="28"/>
    </row>
    <row r="27" spans="1:14" x14ac:dyDescent="0.35">
      <c r="G27" s="1"/>
      <c r="I27" s="1"/>
      <c r="J27" s="10"/>
      <c r="K27" s="20"/>
      <c r="L27" s="2"/>
      <c r="M27" s="39"/>
      <c r="N27" s="33" t="s">
        <v>61</v>
      </c>
    </row>
    <row r="28" spans="1:14" x14ac:dyDescent="0.35">
      <c r="G28" s="1"/>
      <c r="I28" s="1"/>
      <c r="J28" s="1"/>
      <c r="K28" s="20"/>
      <c r="L28" s="2"/>
      <c r="M28" s="28"/>
      <c r="N28" s="28">
        <f>SQRT(SUM(N23:N26))</f>
        <v>0</v>
      </c>
    </row>
    <row r="29" spans="1:14" x14ac:dyDescent="0.35">
      <c r="G29" s="1"/>
      <c r="I29" s="1"/>
      <c r="J29" s="1"/>
      <c r="K29" s="20"/>
      <c r="L29" s="26"/>
    </row>
    <row r="30" spans="1:14" ht="29" x14ac:dyDescent="0.35">
      <c r="A30" s="7" t="s">
        <v>110</v>
      </c>
      <c r="B30" s="7"/>
      <c r="C30" s="7"/>
      <c r="D30" s="36" t="s">
        <v>43</v>
      </c>
      <c r="E30" s="36" t="s">
        <v>44</v>
      </c>
      <c r="G30" s="36" t="s">
        <v>76</v>
      </c>
      <c r="H30" s="36" t="s">
        <v>42</v>
      </c>
      <c r="I30" s="36" t="s">
        <v>81</v>
      </c>
      <c r="J30" s="36" t="s">
        <v>78</v>
      </c>
      <c r="K30" s="39" t="s">
        <v>173</v>
      </c>
      <c r="L30" s="26"/>
      <c r="M30" s="1"/>
      <c r="N30" s="31"/>
    </row>
    <row r="31" spans="1:14" ht="29" x14ac:dyDescent="0.35">
      <c r="A31" s="22" t="s">
        <v>34</v>
      </c>
      <c r="B31" s="22" t="s">
        <v>50</v>
      </c>
      <c r="C31" s="22" t="s">
        <v>64</v>
      </c>
      <c r="D31" s="30" t="s">
        <v>17</v>
      </c>
      <c r="E31" s="30" t="s">
        <v>17</v>
      </c>
      <c r="F31" s="22" t="s">
        <v>12</v>
      </c>
      <c r="G31" s="30" t="s">
        <v>77</v>
      </c>
      <c r="H31" s="23" t="s">
        <v>0</v>
      </c>
      <c r="I31" s="46" t="s">
        <v>82</v>
      </c>
      <c r="J31" s="24" t="s">
        <v>79</v>
      </c>
      <c r="K31" s="46" t="s">
        <v>80</v>
      </c>
      <c r="L31" s="34"/>
      <c r="M31" s="24" t="s">
        <v>174</v>
      </c>
      <c r="N31" s="24" t="s">
        <v>52</v>
      </c>
    </row>
    <row r="32" spans="1:14" x14ac:dyDescent="0.35">
      <c r="A32" s="1" t="s">
        <v>128</v>
      </c>
      <c r="B32" s="1" t="s">
        <v>117</v>
      </c>
      <c r="C32" s="1" t="s">
        <v>96</v>
      </c>
      <c r="D32" s="1" t="s">
        <v>118</v>
      </c>
      <c r="E32" s="27">
        <v>0</v>
      </c>
      <c r="F32" s="21" t="s">
        <v>5</v>
      </c>
      <c r="G32" s="14" t="s">
        <v>73</v>
      </c>
      <c r="H32" s="25">
        <f>Amp1_Calc!$C$22</f>
        <v>101</v>
      </c>
      <c r="I32" s="17">
        <f>E32*$B$9*H32</f>
        <v>0</v>
      </c>
      <c r="J32" s="10">
        <f>Amp1_Calc!$C$12</f>
        <v>-100</v>
      </c>
      <c r="K32" s="28">
        <f>I32*1/J32</f>
        <v>0</v>
      </c>
      <c r="L32" s="2"/>
      <c r="M32" s="28"/>
      <c r="N32" s="17">
        <f>K32^2</f>
        <v>0</v>
      </c>
    </row>
    <row r="33" spans="1:15" x14ac:dyDescent="0.35">
      <c r="A33" s="1" t="s">
        <v>35</v>
      </c>
      <c r="B33" s="1" t="s">
        <v>154</v>
      </c>
      <c r="C33" s="1" t="s">
        <v>96</v>
      </c>
      <c r="D33" s="1" t="s">
        <v>152</v>
      </c>
      <c r="E33" s="17">
        <v>0</v>
      </c>
      <c r="F33" s="1" t="s">
        <v>130</v>
      </c>
      <c r="G33" s="14" t="s">
        <v>73</v>
      </c>
      <c r="H33" s="16">
        <f>Amp1_Calc!$C$24</f>
        <v>101000</v>
      </c>
      <c r="I33" s="28">
        <f>E33*$C$9*H33</f>
        <v>0</v>
      </c>
      <c r="J33" s="10">
        <f>Amp1_Calc!$C$12</f>
        <v>-100</v>
      </c>
      <c r="K33" s="28">
        <f>I33*1/J33</f>
        <v>0</v>
      </c>
      <c r="L33" s="2"/>
      <c r="M33" s="28"/>
      <c r="N33" s="17">
        <f>K33^2</f>
        <v>0</v>
      </c>
    </row>
    <row r="34" spans="1:15" x14ac:dyDescent="0.35">
      <c r="A34" s="1" t="s">
        <v>35</v>
      </c>
      <c r="B34" s="1" t="s">
        <v>155</v>
      </c>
      <c r="C34" s="1" t="s">
        <v>96</v>
      </c>
      <c r="D34" s="1" t="s">
        <v>153</v>
      </c>
      <c r="E34" s="17">
        <v>0</v>
      </c>
      <c r="F34" s="1" t="s">
        <v>130</v>
      </c>
      <c r="G34" s="14" t="s">
        <v>73</v>
      </c>
      <c r="H34" s="16">
        <f>Amp1_Calc!$C$26</f>
        <v>-101000</v>
      </c>
      <c r="I34" s="28">
        <f>E34*$C$9*H34</f>
        <v>0</v>
      </c>
      <c r="J34" s="10">
        <f>Amp1_Calc!$C$12</f>
        <v>-100</v>
      </c>
      <c r="K34" s="28">
        <f>I34*1/J34</f>
        <v>0</v>
      </c>
      <c r="L34" s="2"/>
      <c r="M34" s="28"/>
      <c r="N34" s="17">
        <f>K34^2</f>
        <v>0</v>
      </c>
    </row>
    <row r="35" spans="1:15" s="5" customFormat="1" x14ac:dyDescent="0.35">
      <c r="A35" s="65" t="s">
        <v>114</v>
      </c>
      <c r="B35" s="65" t="s">
        <v>109</v>
      </c>
      <c r="C35" s="65" t="s">
        <v>96</v>
      </c>
      <c r="D35" s="65" t="s">
        <v>105</v>
      </c>
      <c r="E35" s="71">
        <v>1.4999999999999999E-8</v>
      </c>
      <c r="F35" s="67" t="s">
        <v>101</v>
      </c>
      <c r="G35" s="68" t="s">
        <v>73</v>
      </c>
      <c r="H35" s="72">
        <f>Amp1_Calc!$C$28</f>
        <v>101</v>
      </c>
      <c r="I35" s="66">
        <f>E35*SQRT($D$9*$E$9)*H35*3</f>
        <v>1.2670282940309579E-3</v>
      </c>
      <c r="J35" s="70">
        <f>Amp1_Calc!$C$12</f>
        <v>-100</v>
      </c>
      <c r="K35" s="66">
        <f t="shared" ref="K35:K39" si="0">I35*1/J35</f>
        <v>-1.267028294030958E-5</v>
      </c>
      <c r="M35" s="66">
        <f>ABS(K35/3)</f>
        <v>4.2234276467698596E-6</v>
      </c>
      <c r="N35" s="66">
        <f t="shared" ref="N35:N39" si="1">K35^2</f>
        <v>1.6053606978749995E-10</v>
      </c>
    </row>
    <row r="36" spans="1:15" s="5" customFormat="1" x14ac:dyDescent="0.35">
      <c r="A36" s="65" t="s">
        <v>35</v>
      </c>
      <c r="B36" s="65" t="s">
        <v>108</v>
      </c>
      <c r="C36" s="65" t="s">
        <v>96</v>
      </c>
      <c r="D36" s="65" t="s">
        <v>106</v>
      </c>
      <c r="E36" s="71">
        <f>0.000000085*SQRT(1)</f>
        <v>8.4999999999999994E-8</v>
      </c>
      <c r="F36" s="67" t="s">
        <v>107</v>
      </c>
      <c r="G36" s="68" t="s">
        <v>73</v>
      </c>
      <c r="H36" s="72">
        <f>Amp1_Calc!$C$28</f>
        <v>101</v>
      </c>
      <c r="I36" s="66">
        <f>E36*SQRT(LN($D$9/$C$9))*H36*3</f>
        <v>9.3261244976299338E-5</v>
      </c>
      <c r="J36" s="70">
        <f>Amp1_Calc!$C$12</f>
        <v>-100</v>
      </c>
      <c r="K36" s="71">
        <f t="shared" ref="K36" si="2">I36*1/J36</f>
        <v>-9.3261244976299333E-7</v>
      </c>
      <c r="M36" s="66">
        <f t="shared" ref="M36:M40" si="3">ABS(K36/3)</f>
        <v>3.1087081658766444E-7</v>
      </c>
      <c r="N36" s="66">
        <f t="shared" ref="N36" si="4">K36^2</f>
        <v>8.6976598145293172E-13</v>
      </c>
      <c r="O36" s="66"/>
    </row>
    <row r="37" spans="1:15" s="5" customFormat="1" x14ac:dyDescent="0.35">
      <c r="A37" s="65" t="s">
        <v>35</v>
      </c>
      <c r="B37" s="65" t="s">
        <v>169</v>
      </c>
      <c r="C37" s="65" t="s">
        <v>96</v>
      </c>
      <c r="D37" s="65" t="s">
        <v>113</v>
      </c>
      <c r="E37" s="71">
        <v>3.5000000000000002E-13</v>
      </c>
      <c r="F37" s="67" t="s">
        <v>104</v>
      </c>
      <c r="G37" s="68" t="s">
        <v>73</v>
      </c>
      <c r="H37" s="69">
        <f>Amp1_Calc!$C$30</f>
        <v>101000</v>
      </c>
      <c r="I37" s="66">
        <f>E37*SQRT($D$9*$E$9)*H37*3</f>
        <v>2.9563993527389023E-5</v>
      </c>
      <c r="J37" s="70">
        <f>Amp1_Calc!$C$12</f>
        <v>-100</v>
      </c>
      <c r="K37" s="71">
        <f t="shared" si="0"/>
        <v>-2.9563993527389022E-7</v>
      </c>
      <c r="M37" s="66">
        <f t="shared" si="3"/>
        <v>9.8546645091296743E-8</v>
      </c>
      <c r="N37" s="66">
        <f t="shared" si="1"/>
        <v>8.7402971328749995E-14</v>
      </c>
    </row>
    <row r="38" spans="1:15" s="5" customFormat="1" x14ac:dyDescent="0.35">
      <c r="A38" s="65" t="s">
        <v>35</v>
      </c>
      <c r="B38" s="65" t="s">
        <v>170</v>
      </c>
      <c r="C38" s="65" t="s">
        <v>96</v>
      </c>
      <c r="D38" s="65" t="s">
        <v>115</v>
      </c>
      <c r="E38" s="71">
        <f>0.000000000008*SQRT(1)</f>
        <v>7.9999999999999998E-12</v>
      </c>
      <c r="F38" s="67" t="s">
        <v>151</v>
      </c>
      <c r="G38" s="68" t="s">
        <v>73</v>
      </c>
      <c r="H38" s="69">
        <f>Amp1_Calc!$C$30</f>
        <v>101000</v>
      </c>
      <c r="I38" s="66">
        <f>E38*SQRT(LN($D$9/$C$9))*H38*3</f>
        <v>8.7775289389458207E-6</v>
      </c>
      <c r="J38" s="70">
        <f>Amp1_Calc!$C$12</f>
        <v>-100</v>
      </c>
      <c r="K38" s="71">
        <f t="shared" si="0"/>
        <v>-8.7775289389458212E-8</v>
      </c>
      <c r="M38" s="66">
        <f t="shared" si="3"/>
        <v>2.9258429796486072E-8</v>
      </c>
      <c r="N38" s="66">
        <f t="shared" si="1"/>
        <v>7.7045014274031348E-15</v>
      </c>
      <c r="O38" s="66"/>
    </row>
    <row r="39" spans="1:15" s="5" customFormat="1" x14ac:dyDescent="0.35">
      <c r="A39" s="65" t="s">
        <v>35</v>
      </c>
      <c r="B39" s="65" t="s">
        <v>171</v>
      </c>
      <c r="C39" s="65" t="s">
        <v>96</v>
      </c>
      <c r="D39" s="65" t="s">
        <v>113</v>
      </c>
      <c r="E39" s="71">
        <v>3.5000000000000002E-13</v>
      </c>
      <c r="F39" s="67" t="s">
        <v>104</v>
      </c>
      <c r="G39" s="68" t="s">
        <v>73</v>
      </c>
      <c r="H39" s="69">
        <f>Amp1_Calc!$C$32</f>
        <v>-101000</v>
      </c>
      <c r="I39" s="66">
        <f>E39*SQRT($D$9*$E$9)*H39*3</f>
        <v>-2.9563993527389023E-5</v>
      </c>
      <c r="J39" s="70">
        <f>Amp1_Calc!$C$12</f>
        <v>-100</v>
      </c>
      <c r="K39" s="71">
        <f t="shared" si="0"/>
        <v>2.9563993527389022E-7</v>
      </c>
      <c r="M39" s="66">
        <f t="shared" si="3"/>
        <v>9.8546645091296743E-8</v>
      </c>
      <c r="N39" s="66">
        <f t="shared" si="1"/>
        <v>8.7402971328749995E-14</v>
      </c>
    </row>
    <row r="40" spans="1:15" s="5" customFormat="1" x14ac:dyDescent="0.35">
      <c r="A40" s="65" t="s">
        <v>35</v>
      </c>
      <c r="B40" s="65" t="s">
        <v>172</v>
      </c>
      <c r="C40" s="65" t="s">
        <v>96</v>
      </c>
      <c r="D40" s="65" t="s">
        <v>115</v>
      </c>
      <c r="E40" s="71">
        <f>0.000000000008*SQRT(1)</f>
        <v>7.9999999999999998E-12</v>
      </c>
      <c r="F40" s="67" t="s">
        <v>151</v>
      </c>
      <c r="G40" s="68" t="s">
        <v>73</v>
      </c>
      <c r="H40" s="69">
        <f>Amp1_Calc!$C$32</f>
        <v>-101000</v>
      </c>
      <c r="I40" s="66">
        <f>E40*SQRT(LN($D$9/$C$9))*H40*3</f>
        <v>-8.7775289389458207E-6</v>
      </c>
      <c r="J40" s="70">
        <f>Amp1_Calc!$C$12</f>
        <v>-100</v>
      </c>
      <c r="K40" s="71">
        <f t="shared" ref="K40:K42" si="5">I40*1/J40</f>
        <v>8.7775289389458212E-8</v>
      </c>
      <c r="M40" s="66">
        <f t="shared" si="3"/>
        <v>2.9258429796486072E-8</v>
      </c>
      <c r="N40" s="66">
        <f t="shared" ref="N40:N42" si="6">K40^2</f>
        <v>7.7045014274031348E-15</v>
      </c>
      <c r="O40" s="66"/>
    </row>
    <row r="41" spans="1:15" x14ac:dyDescent="0.35">
      <c r="A41" s="1" t="s">
        <v>137</v>
      </c>
      <c r="B41" s="1" t="s">
        <v>183</v>
      </c>
      <c r="C41" s="1" t="s">
        <v>139</v>
      </c>
      <c r="D41" s="1" t="s">
        <v>166</v>
      </c>
      <c r="E41" s="27">
        <f>SQRT(4*1.38E-23*298*Amp1_Calc!$C$10)</f>
        <v>4.055810646467608E-9</v>
      </c>
      <c r="F41" s="21" t="s">
        <v>101</v>
      </c>
      <c r="G41" s="14" t="s">
        <v>73</v>
      </c>
      <c r="H41" s="10">
        <f>Amp1_Calc!$C$38</f>
        <v>101</v>
      </c>
      <c r="I41" s="17">
        <f>E41*SQRT($D$9*$E$9)*H41*3</f>
        <v>3.4258845628709671E-4</v>
      </c>
      <c r="J41" s="10">
        <f>Amp1_Calc!$C$12</f>
        <v>-100</v>
      </c>
      <c r="K41" s="27">
        <f t="shared" si="5"/>
        <v>-3.4258845628709669E-6</v>
      </c>
      <c r="L41" s="2"/>
      <c r="M41" s="17">
        <f>ABS(K41/3)</f>
        <v>1.141961520956989E-6</v>
      </c>
      <c r="N41" s="17">
        <f t="shared" si="6"/>
        <v>1.1736685038117596E-11</v>
      </c>
    </row>
    <row r="42" spans="1:15" x14ac:dyDescent="0.35">
      <c r="A42" s="1" t="s">
        <v>35</v>
      </c>
      <c r="B42" s="1" t="s">
        <v>167</v>
      </c>
      <c r="C42" s="1" t="s">
        <v>139</v>
      </c>
      <c r="D42" s="1" t="s">
        <v>166</v>
      </c>
      <c r="E42" s="27">
        <f>SQRT(4*1.38E-23*298*Amp1_Calc!$C$7)</f>
        <v>4.0760392539817378E-9</v>
      </c>
      <c r="F42" s="21" t="s">
        <v>101</v>
      </c>
      <c r="G42" s="14" t="s">
        <v>73</v>
      </c>
      <c r="H42" s="10">
        <f>Amp1_Calc!$C$34</f>
        <v>-100</v>
      </c>
      <c r="I42" s="17">
        <f>E42*SQRT($D$9*$E$9)*H42*3</f>
        <v>-3.4088825494229044E-4</v>
      </c>
      <c r="J42" s="10">
        <f>Amp1_Calc!$C$12</f>
        <v>-100</v>
      </c>
      <c r="K42" s="27">
        <f t="shared" si="5"/>
        <v>3.4088825494229043E-6</v>
      </c>
      <c r="L42" s="2"/>
      <c r="M42" s="17">
        <f t="shared" ref="M42:M43" si="7">ABS(K42/3)</f>
        <v>1.1362941831409681E-6</v>
      </c>
      <c r="N42" s="17">
        <f t="shared" si="6"/>
        <v>1.1620480235759999E-11</v>
      </c>
    </row>
    <row r="43" spans="1:15" x14ac:dyDescent="0.35">
      <c r="A43" s="1" t="s">
        <v>35</v>
      </c>
      <c r="B43" s="1" t="s">
        <v>168</v>
      </c>
      <c r="C43" s="1" t="s">
        <v>139</v>
      </c>
      <c r="D43" s="1" t="s">
        <v>166</v>
      </c>
      <c r="E43" s="17">
        <f>SQRT(4*1.38E-23*298*Amp1_Calc!$C$8)</f>
        <v>4.0760392539817374E-8</v>
      </c>
      <c r="F43" s="21" t="s">
        <v>101</v>
      </c>
      <c r="G43" s="14" t="s">
        <v>73</v>
      </c>
      <c r="H43" s="10">
        <f>Amp1_Calc!$C$36</f>
        <v>1</v>
      </c>
      <c r="I43" s="17">
        <f>E43*SQRT($D$9*$E$9)*H43*3</f>
        <v>3.4088825494229047E-5</v>
      </c>
      <c r="J43" s="10">
        <f>Amp1_Calc!$C$12</f>
        <v>-100</v>
      </c>
      <c r="K43" s="27">
        <f t="shared" ref="K43" si="8">I43*1/J43</f>
        <v>-3.4088825494229048E-7</v>
      </c>
      <c r="L43" s="2"/>
      <c r="M43" s="17">
        <f t="shared" si="7"/>
        <v>1.1362941831409682E-7</v>
      </c>
      <c r="N43" s="17">
        <f t="shared" ref="N43" si="9">K43^2</f>
        <v>1.1620480235760002E-13</v>
      </c>
      <c r="O43" s="17"/>
    </row>
    <row r="44" spans="1:15" x14ac:dyDescent="0.35">
      <c r="B44" s="1" t="s">
        <v>22</v>
      </c>
    </row>
    <row r="45" spans="1:15" x14ac:dyDescent="0.35">
      <c r="E45" t="s">
        <v>150</v>
      </c>
      <c r="G45" s="1"/>
      <c r="H45" s="1"/>
      <c r="I45" s="1"/>
      <c r="J45" s="29"/>
      <c r="K45" s="2"/>
      <c r="M45" s="39"/>
      <c r="N45" s="33" t="s">
        <v>61</v>
      </c>
    </row>
    <row r="46" spans="1:15" x14ac:dyDescent="0.35">
      <c r="G46" s="1"/>
      <c r="H46" s="1"/>
      <c r="I46" s="1"/>
      <c r="J46" s="29"/>
      <c r="K46" s="2"/>
      <c r="M46" s="28"/>
      <c r="N46" s="17">
        <f>SQRT(SUM(N32:N44))</f>
        <v>1.3604022228396291E-5</v>
      </c>
      <c r="O46" t="s">
        <v>164</v>
      </c>
    </row>
    <row r="47" spans="1:15" x14ac:dyDescent="0.35">
      <c r="G47" s="1"/>
      <c r="H47" s="1"/>
      <c r="I47" s="1"/>
      <c r="J47" s="29"/>
      <c r="K47" s="26"/>
      <c r="N47" s="17">
        <f>N46/3</f>
        <v>4.5346740761320969E-6</v>
      </c>
      <c r="O47" t="s">
        <v>165</v>
      </c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6"/>
  <sheetViews>
    <sheetView topLeftCell="A9" zoomScale="70" zoomScaleNormal="70" workbookViewId="0">
      <selection activeCell="I43" sqref="I43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3" t="s">
        <v>94</v>
      </c>
      <c r="F1" s="1"/>
      <c r="G1" s="1"/>
      <c r="H1" s="1"/>
    </row>
    <row r="2" spans="1:13" x14ac:dyDescent="0.35">
      <c r="E2" s="3"/>
      <c r="F2" s="2" t="s">
        <v>15</v>
      </c>
      <c r="G2" s="2"/>
      <c r="H2" s="2"/>
    </row>
    <row r="3" spans="1:13" x14ac:dyDescent="0.35">
      <c r="E3" s="4"/>
      <c r="F3" s="2" t="s">
        <v>16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23</v>
      </c>
      <c r="G7" s="1"/>
      <c r="H7" s="1"/>
      <c r="I7" s="1"/>
      <c r="J7" s="1"/>
    </row>
    <row r="8" spans="1:13" x14ac:dyDescent="0.35">
      <c r="C8" s="38" t="s">
        <v>95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89</v>
      </c>
      <c r="C11" t="s">
        <v>25</v>
      </c>
      <c r="D11" s="10"/>
      <c r="E11" s="10"/>
      <c r="F11" s="1" t="s">
        <v>88</v>
      </c>
    </row>
    <row r="12" spans="1:13" x14ac:dyDescent="0.35">
      <c r="A12" s="7" t="s">
        <v>19</v>
      </c>
      <c r="B12" s="3" t="s">
        <v>59</v>
      </c>
      <c r="C12" s="4" t="s">
        <v>20</v>
      </c>
      <c r="D12" s="4" t="s">
        <v>31</v>
      </c>
      <c r="E12" s="41" t="s">
        <v>21</v>
      </c>
      <c r="F12" s="4" t="s">
        <v>24</v>
      </c>
      <c r="G12" s="45" t="s">
        <v>26</v>
      </c>
    </row>
    <row r="13" spans="1:13" x14ac:dyDescent="0.35">
      <c r="B13" s="10">
        <v>1</v>
      </c>
      <c r="C13" s="25">
        <f>M27</f>
        <v>0</v>
      </c>
      <c r="D13" s="25">
        <f>M36</f>
        <v>0</v>
      </c>
      <c r="E13" s="25">
        <f>C13+D13</f>
        <v>0</v>
      </c>
      <c r="F13" s="16">
        <f>(B13-E13)/B13*100</f>
        <v>100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87</v>
      </c>
    </row>
    <row r="21" spans="1:15" ht="29" x14ac:dyDescent="0.35">
      <c r="A21" s="7" t="s">
        <v>13</v>
      </c>
      <c r="B21" s="7"/>
      <c r="C21" s="7"/>
      <c r="D21" s="36" t="s">
        <v>43</v>
      </c>
      <c r="E21" s="36" t="s">
        <v>44</v>
      </c>
      <c r="G21" s="36" t="s">
        <v>76</v>
      </c>
      <c r="H21" s="36" t="s">
        <v>32</v>
      </c>
      <c r="I21" s="36" t="s">
        <v>86</v>
      </c>
      <c r="M21" s="31" t="s">
        <v>98</v>
      </c>
      <c r="N21" s="31" t="s">
        <v>97</v>
      </c>
    </row>
    <row r="22" spans="1:15" ht="29" x14ac:dyDescent="0.35">
      <c r="A22" s="22" t="s">
        <v>34</v>
      </c>
      <c r="B22" s="22" t="s">
        <v>50</v>
      </c>
      <c r="C22" s="22" t="s">
        <v>64</v>
      </c>
      <c r="D22" s="30" t="s">
        <v>17</v>
      </c>
      <c r="E22" s="30" t="s">
        <v>17</v>
      </c>
      <c r="F22" s="22" t="s">
        <v>12</v>
      </c>
      <c r="G22" s="30" t="s">
        <v>77</v>
      </c>
      <c r="H22" s="23" t="s">
        <v>0</v>
      </c>
      <c r="I22" s="42" t="s">
        <v>85</v>
      </c>
      <c r="J22" s="37"/>
      <c r="K22" s="34"/>
      <c r="L22" s="34"/>
      <c r="M22" s="24" t="s">
        <v>45</v>
      </c>
      <c r="N22" s="24" t="s">
        <v>46</v>
      </c>
    </row>
    <row r="23" spans="1:15" x14ac:dyDescent="0.35">
      <c r="A23" s="1" t="s">
        <v>33</v>
      </c>
      <c r="B23" s="1" t="s">
        <v>28</v>
      </c>
      <c r="C23" s="1" t="s">
        <v>65</v>
      </c>
      <c r="D23" s="1" t="s">
        <v>66</v>
      </c>
      <c r="E23" s="10">
        <v>0</v>
      </c>
      <c r="F23" s="21" t="s">
        <v>8</v>
      </c>
      <c r="G23" s="14" t="s">
        <v>73</v>
      </c>
      <c r="H23" s="25">
        <f>Amp1_Calc!$C$50</f>
        <v>1</v>
      </c>
      <c r="I23" s="6">
        <f>E23*H23</f>
        <v>0</v>
      </c>
      <c r="J23" s="14"/>
      <c r="L23" s="2"/>
      <c r="M23" s="6">
        <f>ABS(I23)</f>
        <v>0</v>
      </c>
      <c r="N23" s="17">
        <f>I23^2</f>
        <v>0</v>
      </c>
      <c r="O23" s="2" t="s">
        <v>8</v>
      </c>
    </row>
    <row r="24" spans="1:15" x14ac:dyDescent="0.35">
      <c r="A24" s="1" t="s">
        <v>35</v>
      </c>
      <c r="B24" s="1" t="s">
        <v>27</v>
      </c>
      <c r="C24" s="1" t="s">
        <v>65</v>
      </c>
      <c r="D24" s="1" t="s">
        <v>66</v>
      </c>
      <c r="E24" s="10">
        <v>0</v>
      </c>
      <c r="F24" s="21" t="s">
        <v>8</v>
      </c>
      <c r="G24" s="14" t="s">
        <v>73</v>
      </c>
      <c r="H24" s="25">
        <f>Amp1_Calc!$C$46</f>
        <v>-0.99009900990098754</v>
      </c>
      <c r="I24" s="6">
        <f>E24*H24</f>
        <v>0</v>
      </c>
      <c r="J24" s="14"/>
      <c r="L24" s="2"/>
      <c r="M24" s="6">
        <f>ABS(I24)</f>
        <v>0</v>
      </c>
      <c r="N24" s="17">
        <f>I24^2</f>
        <v>0</v>
      </c>
      <c r="O24" s="2" t="s">
        <v>8</v>
      </c>
    </row>
    <row r="25" spans="1:15" x14ac:dyDescent="0.35">
      <c r="B25" s="1" t="s">
        <v>22</v>
      </c>
    </row>
    <row r="26" spans="1:15" x14ac:dyDescent="0.35">
      <c r="G26" s="1"/>
      <c r="J26" s="1"/>
      <c r="M26" s="39" t="s">
        <v>60</v>
      </c>
      <c r="N26" s="33" t="s">
        <v>61</v>
      </c>
    </row>
    <row r="27" spans="1:15" x14ac:dyDescent="0.35">
      <c r="G27" s="1"/>
      <c r="J27" s="1"/>
      <c r="M27" s="6">
        <f>SUM(M23:M25)</f>
        <v>0</v>
      </c>
      <c r="N27" s="6">
        <f>SQRT(SUM(N23:N25))</f>
        <v>0</v>
      </c>
    </row>
    <row r="30" spans="1:15" ht="29" x14ac:dyDescent="0.35">
      <c r="A30" s="7" t="s">
        <v>53</v>
      </c>
      <c r="B30" s="7"/>
      <c r="C30" s="7"/>
      <c r="D30" s="36" t="s">
        <v>43</v>
      </c>
      <c r="E30" s="36" t="s">
        <v>44</v>
      </c>
      <c r="G30" s="36" t="s">
        <v>76</v>
      </c>
      <c r="H30" s="36" t="s">
        <v>32</v>
      </c>
      <c r="I30" s="36" t="s">
        <v>86</v>
      </c>
      <c r="M30" s="31"/>
      <c r="N30" s="31"/>
    </row>
    <row r="31" spans="1:15" ht="29" x14ac:dyDescent="0.35">
      <c r="A31" s="22" t="s">
        <v>34</v>
      </c>
      <c r="B31" s="22" t="s">
        <v>50</v>
      </c>
      <c r="C31" s="22" t="s">
        <v>64</v>
      </c>
      <c r="D31" s="22" t="s">
        <v>17</v>
      </c>
      <c r="E31" s="22" t="s">
        <v>17</v>
      </c>
      <c r="F31" s="22" t="s">
        <v>12</v>
      </c>
      <c r="G31" s="30" t="s">
        <v>77</v>
      </c>
      <c r="H31" s="23" t="s">
        <v>0</v>
      </c>
      <c r="I31" s="42" t="s">
        <v>84</v>
      </c>
      <c r="J31" s="34"/>
      <c r="K31" s="34"/>
      <c r="L31" s="34"/>
      <c r="M31" s="24" t="s">
        <v>45</v>
      </c>
      <c r="N31" s="24" t="s">
        <v>46</v>
      </c>
    </row>
    <row r="32" spans="1:15" x14ac:dyDescent="0.35">
      <c r="A32" s="1" t="s">
        <v>33</v>
      </c>
      <c r="B32" s="1" t="s">
        <v>69</v>
      </c>
      <c r="C32" s="1" t="s">
        <v>65</v>
      </c>
      <c r="D32" s="1" t="s">
        <v>67</v>
      </c>
      <c r="E32" s="1">
        <v>0</v>
      </c>
      <c r="F32" s="21" t="s">
        <v>14</v>
      </c>
      <c r="G32" s="14" t="s">
        <v>73</v>
      </c>
      <c r="H32" s="25">
        <f>Amp1_Calc!$C$50</f>
        <v>1</v>
      </c>
      <c r="I32" s="6">
        <f>E32/1000000*$C$9*H32*100</f>
        <v>0</v>
      </c>
      <c r="J32" s="14"/>
      <c r="M32" s="6">
        <f>ABS(I32)</f>
        <v>0</v>
      </c>
      <c r="N32" s="17">
        <f>I32^2</f>
        <v>0</v>
      </c>
      <c r="O32" s="2" t="s">
        <v>8</v>
      </c>
    </row>
    <row r="33" spans="1:15" x14ac:dyDescent="0.35">
      <c r="A33" s="1" t="s">
        <v>35</v>
      </c>
      <c r="B33" s="1" t="s">
        <v>68</v>
      </c>
      <c r="C33" s="1" t="s">
        <v>65</v>
      </c>
      <c r="D33" s="1" t="s">
        <v>67</v>
      </c>
      <c r="E33" s="1">
        <v>0</v>
      </c>
      <c r="F33" s="21" t="s">
        <v>14</v>
      </c>
      <c r="G33" s="14" t="s">
        <v>73</v>
      </c>
      <c r="H33" s="25">
        <f>Amp1_Calc!$C$46</f>
        <v>-0.99009900990098754</v>
      </c>
      <c r="I33" s="6">
        <f>E33/1000000*$C$9*H33*100</f>
        <v>0</v>
      </c>
      <c r="J33" s="14"/>
      <c r="L33" s="2"/>
      <c r="M33" s="6">
        <f>ABS(I33)</f>
        <v>0</v>
      </c>
      <c r="N33" s="17">
        <f>I33^2</f>
        <v>0</v>
      </c>
      <c r="O33" s="2" t="s">
        <v>8</v>
      </c>
    </row>
    <row r="34" spans="1:15" x14ac:dyDescent="0.35">
      <c r="B34" s="1" t="s">
        <v>22</v>
      </c>
    </row>
    <row r="35" spans="1:15" x14ac:dyDescent="0.35">
      <c r="G35" s="1"/>
      <c r="H35" s="1"/>
      <c r="I35" s="1"/>
      <c r="M35" s="39" t="s">
        <v>60</v>
      </c>
      <c r="N35" s="33" t="s">
        <v>61</v>
      </c>
    </row>
    <row r="36" spans="1:15" x14ac:dyDescent="0.35">
      <c r="G36" s="1"/>
      <c r="H36" s="1"/>
      <c r="I36" s="1"/>
      <c r="M36" s="6">
        <f>SUM(M32:M34)</f>
        <v>0</v>
      </c>
      <c r="N36" s="6">
        <f>SQRT(SUM(N32:N34))</f>
        <v>0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CD96-54A5-4F14-BA28-A73A3CDA3ECC}">
  <sheetPr>
    <tabColor theme="6" tint="0.59999389629810485"/>
  </sheetPr>
  <dimension ref="A1:F65"/>
  <sheetViews>
    <sheetView zoomScale="85" zoomScaleNormal="85" workbookViewId="0">
      <selection activeCell="D12" sqref="D12"/>
    </sheetView>
  </sheetViews>
  <sheetFormatPr defaultColWidth="8.90625" defaultRowHeight="14" x14ac:dyDescent="0.3"/>
  <cols>
    <col min="1" max="1" width="14.81640625" style="51" customWidth="1"/>
    <col min="2" max="2" width="11.90625" style="51" customWidth="1"/>
    <col min="3" max="3" width="11.6328125" style="51" customWidth="1"/>
    <col min="4" max="4" width="12.90625" style="51" customWidth="1"/>
    <col min="5" max="5" width="13.453125" style="51" customWidth="1"/>
    <col min="6" max="6" width="13.90625" style="51" bestFit="1" customWidth="1"/>
    <col min="7" max="7" width="8.90625" style="51"/>
    <col min="8" max="8" width="11.08984375" style="51" customWidth="1"/>
    <col min="9" max="16384" width="8.90625" style="51"/>
  </cols>
  <sheetData>
    <row r="1" spans="1:6" ht="15.5" x14ac:dyDescent="0.35">
      <c r="A1" s="50" t="s">
        <v>127</v>
      </c>
    </row>
    <row r="2" spans="1:6" x14ac:dyDescent="0.3">
      <c r="A2" s="52" t="s">
        <v>119</v>
      </c>
      <c r="B2" s="53"/>
      <c r="C2" s="54"/>
      <c r="D2" s="55"/>
      <c r="E2" s="54" t="s">
        <v>15</v>
      </c>
    </row>
    <row r="3" spans="1:6" x14ac:dyDescent="0.3">
      <c r="A3" s="52"/>
      <c r="B3" s="53"/>
      <c r="C3" s="54"/>
      <c r="D3" s="56"/>
      <c r="E3" s="54" t="s">
        <v>16</v>
      </c>
      <c r="F3" s="54"/>
    </row>
    <row r="4" spans="1:6" x14ac:dyDescent="0.3">
      <c r="A4" s="54"/>
      <c r="B4" s="54"/>
      <c r="C4" s="54"/>
      <c r="D4" s="54"/>
      <c r="E4" s="54"/>
      <c r="F4" s="54"/>
    </row>
    <row r="5" spans="1:6" x14ac:dyDescent="0.3">
      <c r="B5" s="57"/>
      <c r="C5" s="58"/>
      <c r="E5" s="54"/>
      <c r="F5" s="54"/>
    </row>
    <row r="6" spans="1:6" s="73" customFormat="1" ht="12.5" x14ac:dyDescent="0.25">
      <c r="A6" s="54" t="s">
        <v>158</v>
      </c>
      <c r="B6" s="74" t="s">
        <v>160</v>
      </c>
      <c r="C6" s="74" t="s">
        <v>161</v>
      </c>
    </row>
    <row r="7" spans="1:6" x14ac:dyDescent="0.3">
      <c r="A7" s="55" t="s">
        <v>162</v>
      </c>
      <c r="B7" s="59">
        <v>15</v>
      </c>
      <c r="C7" s="59">
        <v>85</v>
      </c>
      <c r="D7" s="76" t="s">
        <v>186</v>
      </c>
      <c r="E7" s="54"/>
      <c r="F7" s="54"/>
    </row>
    <row r="8" spans="1:6" x14ac:dyDescent="0.3">
      <c r="A8" s="55" t="s">
        <v>159</v>
      </c>
      <c r="B8" s="59">
        <v>30</v>
      </c>
      <c r="C8" s="59">
        <v>1</v>
      </c>
      <c r="D8" s="58"/>
      <c r="E8" s="54"/>
      <c r="F8" s="54"/>
    </row>
    <row r="9" spans="1:6" x14ac:dyDescent="0.3">
      <c r="A9" s="56" t="s">
        <v>125</v>
      </c>
      <c r="B9" s="59">
        <f>B7*SQRT(B8)</f>
        <v>82.158383625774917</v>
      </c>
      <c r="C9" s="59">
        <f>C7*SQRT(C8)</f>
        <v>85</v>
      </c>
      <c r="D9" s="54" t="s">
        <v>185</v>
      </c>
      <c r="E9" s="54"/>
      <c r="F9" s="54"/>
    </row>
    <row r="10" spans="1:6" x14ac:dyDescent="0.3">
      <c r="A10" s="54"/>
      <c r="B10" s="58"/>
      <c r="C10" s="54"/>
      <c r="D10" s="54"/>
      <c r="F10" s="54"/>
    </row>
    <row r="11" spans="1:6" x14ac:dyDescent="0.3">
      <c r="A11" s="54" t="s">
        <v>120</v>
      </c>
      <c r="F11" s="54"/>
    </row>
    <row r="12" spans="1:6" x14ac:dyDescent="0.3">
      <c r="A12" s="55" t="s">
        <v>121</v>
      </c>
      <c r="B12" s="59">
        <v>1</v>
      </c>
      <c r="C12" s="54"/>
      <c r="F12" s="54"/>
    </row>
    <row r="13" spans="1:6" x14ac:dyDescent="0.3">
      <c r="A13" s="55" t="s">
        <v>122</v>
      </c>
      <c r="B13" s="58">
        <v>10</v>
      </c>
      <c r="C13" s="54"/>
      <c r="D13" s="54"/>
      <c r="E13" s="54"/>
      <c r="F13" s="54"/>
    </row>
    <row r="14" spans="1:6" x14ac:dyDescent="0.3">
      <c r="A14" s="54"/>
      <c r="B14" s="58"/>
      <c r="C14" s="54"/>
      <c r="D14" s="54"/>
      <c r="E14" s="58" t="s">
        <v>126</v>
      </c>
      <c r="F14" s="58" t="s">
        <v>184</v>
      </c>
    </row>
    <row r="15" spans="1:6" x14ac:dyDescent="0.3">
      <c r="A15" s="54"/>
      <c r="B15" s="60" t="s">
        <v>123</v>
      </c>
      <c r="C15" s="61" t="s">
        <v>124</v>
      </c>
      <c r="D15" s="61" t="s">
        <v>105</v>
      </c>
      <c r="E15" s="62" t="s">
        <v>106</v>
      </c>
      <c r="F15" s="62" t="s">
        <v>138</v>
      </c>
    </row>
    <row r="16" spans="1:6" x14ac:dyDescent="0.3">
      <c r="A16" s="54"/>
      <c r="B16" s="58">
        <v>0</v>
      </c>
      <c r="C16" s="64">
        <f>$B$12*10^(B16/$B$13)</f>
        <v>1</v>
      </c>
      <c r="D16" s="59">
        <f>$B$7</f>
        <v>15</v>
      </c>
      <c r="E16" s="59">
        <f>$B$9/SQRT(C16)</f>
        <v>82.158383625774917</v>
      </c>
      <c r="F16" s="59">
        <f>SQRT(D16^2+E16^2)</f>
        <v>83.516465442450325</v>
      </c>
    </row>
    <row r="17" spans="1:6" x14ac:dyDescent="0.3">
      <c r="A17" s="54"/>
      <c r="B17" s="58">
        <f>B16+1</f>
        <v>1</v>
      </c>
      <c r="C17" s="64">
        <f t="shared" ref="C17:C56" si="0">$B$12*10^(B17/$B$13)</f>
        <v>1.2589254117941673</v>
      </c>
      <c r="D17" s="59">
        <f t="shared" ref="D17:D65" si="1">$B$7</f>
        <v>15</v>
      </c>
      <c r="E17" s="59">
        <f t="shared" ref="E17:E56" si="2">$B$9/SQRT(C17)</f>
        <v>73.223736482024037</v>
      </c>
      <c r="F17" s="59">
        <f t="shared" ref="F17:F56" si="3">SQRT(D17^2+E17^2)</f>
        <v>74.744334797955744</v>
      </c>
    </row>
    <row r="18" spans="1:6" x14ac:dyDescent="0.3">
      <c r="A18" s="54"/>
      <c r="B18" s="58">
        <f t="shared" ref="B18:B34" si="4">B17+1</f>
        <v>2</v>
      </c>
      <c r="C18" s="64">
        <f t="shared" si="0"/>
        <v>1.5848931924611136</v>
      </c>
      <c r="D18" s="59">
        <f t="shared" si="1"/>
        <v>15</v>
      </c>
      <c r="E18" s="59">
        <f t="shared" si="2"/>
        <v>65.260723833262105</v>
      </c>
      <c r="F18" s="59">
        <f t="shared" si="3"/>
        <v>66.96239299219603</v>
      </c>
    </row>
    <row r="19" spans="1:6" x14ac:dyDescent="0.3">
      <c r="A19" s="54"/>
      <c r="B19" s="58">
        <f t="shared" si="4"/>
        <v>3</v>
      </c>
      <c r="C19" s="64">
        <f t="shared" si="0"/>
        <v>1.9952623149688797</v>
      </c>
      <c r="D19" s="59">
        <f t="shared" si="1"/>
        <v>15</v>
      </c>
      <c r="E19" s="59">
        <f t="shared" si="2"/>
        <v>58.163681339682135</v>
      </c>
      <c r="F19" s="59">
        <f t="shared" si="3"/>
        <v>60.066744767667309</v>
      </c>
    </row>
    <row r="20" spans="1:6" x14ac:dyDescent="0.3">
      <c r="A20" s="54"/>
      <c r="B20" s="58">
        <f t="shared" si="4"/>
        <v>4</v>
      </c>
      <c r="C20" s="64">
        <f t="shared" si="0"/>
        <v>2.5118864315095806</v>
      </c>
      <c r="D20" s="59">
        <f t="shared" si="1"/>
        <v>15</v>
      </c>
      <c r="E20" s="59">
        <f t="shared" si="2"/>
        <v>51.838435559303932</v>
      </c>
      <c r="F20" s="59">
        <f t="shared" si="3"/>
        <v>53.965020163399423</v>
      </c>
    </row>
    <row r="21" spans="1:6" x14ac:dyDescent="0.3">
      <c r="A21" s="54"/>
      <c r="B21" s="58">
        <f t="shared" si="4"/>
        <v>5</v>
      </c>
      <c r="C21" s="64">
        <f t="shared" si="0"/>
        <v>3.1622776601683795</v>
      </c>
      <c r="D21" s="59">
        <f t="shared" si="1"/>
        <v>15</v>
      </c>
      <c r="E21" s="59">
        <f t="shared" si="2"/>
        <v>46.201054323615345</v>
      </c>
      <c r="F21" s="59">
        <f t="shared" si="3"/>
        <v>48.575069949652736</v>
      </c>
    </row>
    <row r="22" spans="1:6" x14ac:dyDescent="0.3">
      <c r="A22" s="54"/>
      <c r="B22" s="58">
        <f t="shared" si="4"/>
        <v>6</v>
      </c>
      <c r="C22" s="64">
        <f t="shared" si="0"/>
        <v>3.9810717055349727</v>
      </c>
      <c r="D22" s="59">
        <f t="shared" si="1"/>
        <v>15</v>
      </c>
      <c r="E22" s="59">
        <f t="shared" si="2"/>
        <v>41.176733008690313</v>
      </c>
      <c r="F22" s="59">
        <f t="shared" si="3"/>
        <v>43.823775981411806</v>
      </c>
    </row>
    <row r="23" spans="1:6" x14ac:dyDescent="0.3">
      <c r="A23" s="54"/>
      <c r="B23" s="58">
        <f t="shared" si="4"/>
        <v>7</v>
      </c>
      <c r="C23" s="64">
        <f t="shared" si="0"/>
        <v>5.0118723362727229</v>
      </c>
      <c r="D23" s="59">
        <f t="shared" si="1"/>
        <v>15</v>
      </c>
      <c r="E23" s="59">
        <f t="shared" si="2"/>
        <v>36.698801923278012</v>
      </c>
      <c r="F23" s="59">
        <f t="shared" si="3"/>
        <v>39.645958969408142</v>
      </c>
    </row>
    <row r="24" spans="1:6" x14ac:dyDescent="0.3">
      <c r="A24" s="54"/>
      <c r="B24" s="58">
        <f t="shared" si="4"/>
        <v>8</v>
      </c>
      <c r="C24" s="64">
        <f t="shared" si="0"/>
        <v>6.3095734448019343</v>
      </c>
      <c r="D24" s="59">
        <f t="shared" si="1"/>
        <v>15</v>
      </c>
      <c r="E24" s="59">
        <f t="shared" si="2"/>
        <v>32.707841642506025</v>
      </c>
      <c r="F24" s="59">
        <f t="shared" si="3"/>
        <v>35.983369838180124</v>
      </c>
    </row>
    <row r="25" spans="1:6" x14ac:dyDescent="0.3">
      <c r="A25" s="54"/>
      <c r="B25" s="58">
        <f t="shared" si="4"/>
        <v>9</v>
      </c>
      <c r="C25" s="64">
        <f t="shared" si="0"/>
        <v>7.9432823472428176</v>
      </c>
      <c r="D25" s="59">
        <f t="shared" si="1"/>
        <v>15</v>
      </c>
      <c r="E25" s="59">
        <f t="shared" si="2"/>
        <v>29.150894548213486</v>
      </c>
      <c r="F25" s="59">
        <f t="shared" si="3"/>
        <v>32.783755931269724</v>
      </c>
    </row>
    <row r="26" spans="1:6" x14ac:dyDescent="0.3">
      <c r="A26" s="54"/>
      <c r="B26" s="58">
        <f t="shared" si="4"/>
        <v>10</v>
      </c>
      <c r="C26" s="64">
        <f t="shared" si="0"/>
        <v>10</v>
      </c>
      <c r="D26" s="59">
        <f t="shared" si="1"/>
        <v>15</v>
      </c>
      <c r="E26" s="59">
        <f t="shared" si="2"/>
        <v>25.980762113533157</v>
      </c>
      <c r="F26" s="59">
        <f t="shared" si="3"/>
        <v>29.999999999999996</v>
      </c>
    </row>
    <row r="27" spans="1:6" x14ac:dyDescent="0.3">
      <c r="A27" s="54"/>
      <c r="B27" s="58">
        <f t="shared" si="4"/>
        <v>11</v>
      </c>
      <c r="C27" s="64">
        <f t="shared" si="0"/>
        <v>12.58925411794168</v>
      </c>
      <c r="D27" s="59">
        <f t="shared" si="1"/>
        <v>15</v>
      </c>
      <c r="E27" s="59">
        <f t="shared" si="2"/>
        <v>23.155378607116095</v>
      </c>
      <c r="F27" s="59">
        <f t="shared" si="3"/>
        <v>27.589337767313115</v>
      </c>
    </row>
    <row r="28" spans="1:6" x14ac:dyDescent="0.3">
      <c r="A28" s="54"/>
      <c r="B28" s="58">
        <f t="shared" si="4"/>
        <v>12</v>
      </c>
      <c r="C28" s="64">
        <f t="shared" si="0"/>
        <v>15.848931924611136</v>
      </c>
      <c r="D28" s="59">
        <f t="shared" si="1"/>
        <v>15</v>
      </c>
      <c r="E28" s="59">
        <f t="shared" si="2"/>
        <v>20.637252906434288</v>
      </c>
      <c r="F28" s="59">
        <f t="shared" si="3"/>
        <v>25.512667589339426</v>
      </c>
    </row>
    <row r="29" spans="1:6" x14ac:dyDescent="0.3">
      <c r="A29" s="54"/>
      <c r="B29" s="58">
        <f t="shared" si="4"/>
        <v>13</v>
      </c>
      <c r="C29" s="64">
        <f t="shared" si="0"/>
        <v>19.952623149688804</v>
      </c>
      <c r="D29" s="59">
        <f t="shared" si="1"/>
        <v>15</v>
      </c>
      <c r="E29" s="59">
        <f t="shared" si="2"/>
        <v>18.392971013362924</v>
      </c>
      <c r="F29" s="59">
        <f t="shared" si="3"/>
        <v>23.733971068879494</v>
      </c>
    </row>
    <row r="30" spans="1:6" x14ac:dyDescent="0.3">
      <c r="A30" s="54"/>
      <c r="B30" s="58">
        <f t="shared" si="4"/>
        <v>14</v>
      </c>
      <c r="C30" s="64">
        <f t="shared" si="0"/>
        <v>25.118864315095799</v>
      </c>
      <c r="D30" s="59">
        <f t="shared" si="1"/>
        <v>15</v>
      </c>
      <c r="E30" s="59">
        <f t="shared" si="2"/>
        <v>16.392752670726495</v>
      </c>
      <c r="F30" s="59">
        <f t="shared" si="3"/>
        <v>22.219863638726736</v>
      </c>
    </row>
    <row r="31" spans="1:6" x14ac:dyDescent="0.3">
      <c r="A31" s="54"/>
      <c r="B31" s="58">
        <f t="shared" si="4"/>
        <v>15</v>
      </c>
      <c r="C31" s="64">
        <f t="shared" si="0"/>
        <v>31.622776601683803</v>
      </c>
      <c r="D31" s="59">
        <f t="shared" si="1"/>
        <v>15</v>
      </c>
      <c r="E31" s="59">
        <f t="shared" si="2"/>
        <v>14.610056196379448</v>
      </c>
      <c r="F31" s="59">
        <f t="shared" si="3"/>
        <v>20.939287047589882</v>
      </c>
    </row>
    <row r="32" spans="1:6" x14ac:dyDescent="0.3">
      <c r="A32" s="54"/>
      <c r="B32" s="58">
        <f t="shared" si="4"/>
        <v>16</v>
      </c>
      <c r="C32" s="64">
        <f t="shared" si="0"/>
        <v>39.810717055349755</v>
      </c>
      <c r="D32" s="59">
        <f t="shared" si="1"/>
        <v>15</v>
      </c>
      <c r="E32" s="59">
        <f t="shared" si="2"/>
        <v>13.021226291209922</v>
      </c>
      <c r="F32" s="59">
        <f t="shared" si="3"/>
        <v>19.863341464287839</v>
      </c>
    </row>
    <row r="33" spans="1:6" x14ac:dyDescent="0.3">
      <c r="A33" s="54"/>
      <c r="B33" s="58">
        <f t="shared" si="4"/>
        <v>17</v>
      </c>
      <c r="C33" s="64">
        <f t="shared" si="0"/>
        <v>50.118723362727238</v>
      </c>
      <c r="D33" s="59">
        <f t="shared" si="1"/>
        <v>15</v>
      </c>
      <c r="E33" s="59">
        <f t="shared" si="2"/>
        <v>11.605180147692639</v>
      </c>
      <c r="F33" s="59">
        <f t="shared" si="3"/>
        <v>18.965236783662874</v>
      </c>
    </row>
    <row r="34" spans="1:6" x14ac:dyDescent="0.3">
      <c r="A34" s="54"/>
      <c r="B34" s="58">
        <f t="shared" si="4"/>
        <v>18</v>
      </c>
      <c r="C34" s="64">
        <f t="shared" si="0"/>
        <v>63.095734448019364</v>
      </c>
      <c r="D34" s="59">
        <f t="shared" si="1"/>
        <v>15</v>
      </c>
      <c r="E34" s="59">
        <f t="shared" si="2"/>
        <v>10.343127693842181</v>
      </c>
      <c r="F34" s="59">
        <f t="shared" si="3"/>
        <v>18.220326300347232</v>
      </c>
    </row>
    <row r="35" spans="1:6" x14ac:dyDescent="0.3">
      <c r="A35" s="54"/>
      <c r="B35" s="58">
        <f>B34+1</f>
        <v>19</v>
      </c>
      <c r="C35" s="64">
        <f t="shared" si="0"/>
        <v>79.432823472428197</v>
      </c>
      <c r="D35" s="59">
        <f t="shared" si="1"/>
        <v>15</v>
      </c>
      <c r="E35" s="59">
        <f t="shared" si="2"/>
        <v>9.2183222603739683</v>
      </c>
      <c r="F35" s="59">
        <f t="shared" si="3"/>
        <v>17.606176907440929</v>
      </c>
    </row>
    <row r="36" spans="1:6" x14ac:dyDescent="0.3">
      <c r="A36" s="54"/>
      <c r="B36" s="58">
        <f>B35+1</f>
        <v>20</v>
      </c>
      <c r="C36" s="63">
        <f t="shared" si="0"/>
        <v>100</v>
      </c>
      <c r="D36" s="59">
        <f t="shared" si="1"/>
        <v>15</v>
      </c>
      <c r="E36" s="59">
        <f t="shared" si="2"/>
        <v>8.2158383625774913</v>
      </c>
      <c r="F36" s="59">
        <f t="shared" si="3"/>
        <v>17.102631376487071</v>
      </c>
    </row>
    <row r="37" spans="1:6" x14ac:dyDescent="0.3">
      <c r="A37" s="54"/>
      <c r="B37" s="58">
        <f t="shared" ref="B37:B65" si="5">B36+1</f>
        <v>21</v>
      </c>
      <c r="C37" s="63">
        <f t="shared" si="0"/>
        <v>125.89254117941677</v>
      </c>
      <c r="D37" s="59">
        <f t="shared" si="1"/>
        <v>15</v>
      </c>
      <c r="E37" s="59">
        <f t="shared" si="2"/>
        <v>7.3223736482024044</v>
      </c>
      <c r="F37" s="59">
        <f t="shared" si="3"/>
        <v>16.691829014337795</v>
      </c>
    </row>
    <row r="38" spans="1:6" x14ac:dyDescent="0.3">
      <c r="A38" s="54"/>
      <c r="B38" s="58">
        <f t="shared" si="5"/>
        <v>22</v>
      </c>
      <c r="C38" s="63">
        <f t="shared" si="0"/>
        <v>158.48931924611153</v>
      </c>
      <c r="D38" s="59">
        <f t="shared" si="1"/>
        <v>15</v>
      </c>
      <c r="E38" s="59">
        <f t="shared" si="2"/>
        <v>6.5260723833262064</v>
      </c>
      <c r="F38" s="59">
        <f t="shared" si="3"/>
        <v>16.35816679070161</v>
      </c>
    </row>
    <row r="39" spans="1:6" x14ac:dyDescent="0.3">
      <c r="A39" s="54"/>
      <c r="B39" s="58">
        <f t="shared" si="5"/>
        <v>23</v>
      </c>
      <c r="C39" s="63">
        <f t="shared" si="0"/>
        <v>199.52623149688802</v>
      </c>
      <c r="D39" s="59">
        <f t="shared" si="1"/>
        <v>15</v>
      </c>
      <c r="E39" s="59">
        <f t="shared" si="2"/>
        <v>5.8163681339682123</v>
      </c>
      <c r="F39" s="59">
        <f t="shared" si="3"/>
        <v>16.088198726701535</v>
      </c>
    </row>
    <row r="40" spans="1:6" x14ac:dyDescent="0.3">
      <c r="A40" s="54"/>
      <c r="B40" s="58">
        <f t="shared" si="5"/>
        <v>24</v>
      </c>
      <c r="C40" s="63">
        <f t="shared" si="0"/>
        <v>251.18864315095806</v>
      </c>
      <c r="D40" s="59">
        <f t="shared" si="1"/>
        <v>15</v>
      </c>
      <c r="E40" s="59">
        <f t="shared" si="2"/>
        <v>5.1838435559303928</v>
      </c>
      <c r="F40" s="59">
        <f t="shared" si="3"/>
        <v>15.870483105827656</v>
      </c>
    </row>
    <row r="41" spans="1:6" x14ac:dyDescent="0.3">
      <c r="A41" s="54"/>
      <c r="B41" s="58">
        <f t="shared" si="5"/>
        <v>25</v>
      </c>
      <c r="C41" s="63">
        <f t="shared" si="0"/>
        <v>316.22776601683825</v>
      </c>
      <c r="D41" s="59">
        <f t="shared" si="1"/>
        <v>15</v>
      </c>
      <c r="E41" s="59">
        <f t="shared" si="2"/>
        <v>4.620105432361532</v>
      </c>
      <c r="F41" s="59">
        <f t="shared" si="3"/>
        <v>15.695393407179591</v>
      </c>
    </row>
    <row r="42" spans="1:6" x14ac:dyDescent="0.3">
      <c r="A42" s="54"/>
      <c r="B42" s="58">
        <f t="shared" si="5"/>
        <v>26</v>
      </c>
      <c r="C42" s="63">
        <f t="shared" si="0"/>
        <v>398.10717055349761</v>
      </c>
      <c r="D42" s="59">
        <f t="shared" si="1"/>
        <v>15</v>
      </c>
      <c r="E42" s="59">
        <f t="shared" si="2"/>
        <v>4.1176733008690301</v>
      </c>
      <c r="F42" s="59">
        <f t="shared" si="3"/>
        <v>15.554910266944315</v>
      </c>
    </row>
    <row r="43" spans="1:6" x14ac:dyDescent="0.3">
      <c r="A43" s="54"/>
      <c r="B43" s="58">
        <f t="shared" si="5"/>
        <v>27</v>
      </c>
      <c r="C43" s="63">
        <f t="shared" si="0"/>
        <v>501.18723362727269</v>
      </c>
      <c r="D43" s="59">
        <f t="shared" si="1"/>
        <v>15</v>
      </c>
      <c r="E43" s="59">
        <f t="shared" si="2"/>
        <v>3.6698801923277995</v>
      </c>
      <c r="F43" s="59">
        <f t="shared" si="3"/>
        <v>15.442409806310669</v>
      </c>
    </row>
    <row r="44" spans="1:6" x14ac:dyDescent="0.3">
      <c r="A44" s="54"/>
      <c r="B44" s="58">
        <f t="shared" si="5"/>
        <v>28</v>
      </c>
      <c r="C44" s="63">
        <f t="shared" si="0"/>
        <v>630.95734448019323</v>
      </c>
      <c r="D44" s="59">
        <f t="shared" si="1"/>
        <v>15</v>
      </c>
      <c r="E44" s="59">
        <f t="shared" si="2"/>
        <v>3.2707841642506028</v>
      </c>
      <c r="F44" s="59">
        <f t="shared" si="3"/>
        <v>15.352460032487057</v>
      </c>
    </row>
    <row r="45" spans="1:6" x14ac:dyDescent="0.3">
      <c r="A45" s="54"/>
      <c r="B45" s="58">
        <f t="shared" si="5"/>
        <v>29</v>
      </c>
      <c r="C45" s="63">
        <f t="shared" si="0"/>
        <v>794.32823472428208</v>
      </c>
      <c r="D45" s="59">
        <f t="shared" si="1"/>
        <v>15</v>
      </c>
      <c r="E45" s="59">
        <f t="shared" si="2"/>
        <v>2.9150894548213477</v>
      </c>
      <c r="F45" s="59">
        <f t="shared" si="3"/>
        <v>15.280633053954624</v>
      </c>
    </row>
    <row r="46" spans="1:6" x14ac:dyDescent="0.3">
      <c r="A46" s="54"/>
      <c r="B46" s="58">
        <f t="shared" si="5"/>
        <v>30</v>
      </c>
      <c r="C46" s="63">
        <f t="shared" si="0"/>
        <v>1000</v>
      </c>
      <c r="D46" s="59">
        <f t="shared" si="1"/>
        <v>15</v>
      </c>
      <c r="E46" s="59">
        <f t="shared" si="2"/>
        <v>2.598076211353316</v>
      </c>
      <c r="F46" s="59">
        <f t="shared" si="3"/>
        <v>15.22333734763833</v>
      </c>
    </row>
    <row r="47" spans="1:6" x14ac:dyDescent="0.3">
      <c r="A47" s="54"/>
      <c r="B47" s="58">
        <f t="shared" si="5"/>
        <v>31</v>
      </c>
      <c r="C47" s="63">
        <f t="shared" si="0"/>
        <v>1258.925411794168</v>
      </c>
      <c r="D47" s="59">
        <f t="shared" si="1"/>
        <v>15</v>
      </c>
      <c r="E47" s="59">
        <f t="shared" si="2"/>
        <v>2.3155378607116095</v>
      </c>
      <c r="F47" s="59">
        <f t="shared" si="3"/>
        <v>15.177671612747091</v>
      </c>
    </row>
    <row r="48" spans="1:6" x14ac:dyDescent="0.3">
      <c r="A48" s="54"/>
      <c r="B48" s="58">
        <f t="shared" si="5"/>
        <v>32</v>
      </c>
      <c r="C48" s="63">
        <f t="shared" si="0"/>
        <v>1584.8931924611156</v>
      </c>
      <c r="D48" s="59">
        <f t="shared" si="1"/>
        <v>15</v>
      </c>
      <c r="E48" s="59">
        <f t="shared" si="2"/>
        <v>2.0637252906434274</v>
      </c>
      <c r="F48" s="59">
        <f t="shared" si="3"/>
        <v>15.141299880632484</v>
      </c>
    </row>
    <row r="49" spans="1:6" x14ac:dyDescent="0.3">
      <c r="A49" s="54"/>
      <c r="B49" s="58">
        <f t="shared" si="5"/>
        <v>33</v>
      </c>
      <c r="C49" s="63">
        <f t="shared" si="0"/>
        <v>1995.2623149688804</v>
      </c>
      <c r="D49" s="59">
        <f t="shared" si="1"/>
        <v>15</v>
      </c>
      <c r="E49" s="59">
        <f t="shared" si="2"/>
        <v>1.839297101336292</v>
      </c>
      <c r="F49" s="59">
        <f t="shared" si="3"/>
        <v>15.112346403751605</v>
      </c>
    </row>
    <row r="50" spans="1:6" x14ac:dyDescent="0.3">
      <c r="A50" s="54"/>
      <c r="B50" s="58">
        <f t="shared" si="5"/>
        <v>34</v>
      </c>
      <c r="C50" s="63">
        <f t="shared" si="0"/>
        <v>2511.8864315095811</v>
      </c>
      <c r="D50" s="59">
        <f t="shared" si="1"/>
        <v>15</v>
      </c>
      <c r="E50" s="59">
        <f t="shared" si="2"/>
        <v>1.6392752670726491</v>
      </c>
      <c r="F50" s="59">
        <f t="shared" si="3"/>
        <v>15.089308247936222</v>
      </c>
    </row>
    <row r="51" spans="1:6" x14ac:dyDescent="0.3">
      <c r="A51" s="54"/>
      <c r="B51" s="58">
        <f t="shared" si="5"/>
        <v>35</v>
      </c>
      <c r="C51" s="63">
        <f t="shared" si="0"/>
        <v>3162.2776601683804</v>
      </c>
      <c r="D51" s="59">
        <f t="shared" si="1"/>
        <v>15</v>
      </c>
      <c r="E51" s="59">
        <f t="shared" si="2"/>
        <v>1.4610056196379451</v>
      </c>
      <c r="F51" s="59">
        <f t="shared" si="3"/>
        <v>15.070983293090523</v>
      </c>
    </row>
    <row r="52" spans="1:6" x14ac:dyDescent="0.3">
      <c r="A52" s="54"/>
      <c r="B52" s="58">
        <f t="shared" si="5"/>
        <v>36</v>
      </c>
      <c r="C52" s="63">
        <f t="shared" si="0"/>
        <v>3981.0717055349769</v>
      </c>
      <c r="D52" s="59">
        <f t="shared" si="1"/>
        <v>15</v>
      </c>
      <c r="E52" s="59">
        <f t="shared" si="2"/>
        <v>1.3021226291209922</v>
      </c>
      <c r="F52" s="59">
        <f t="shared" si="3"/>
        <v>15.056411369953631</v>
      </c>
    </row>
    <row r="53" spans="1:6" x14ac:dyDescent="0.3">
      <c r="A53" s="54"/>
      <c r="B53" s="58">
        <f t="shared" si="5"/>
        <v>37</v>
      </c>
      <c r="C53" s="63">
        <f t="shared" si="0"/>
        <v>5011.8723362727324</v>
      </c>
      <c r="D53" s="59">
        <f t="shared" si="1"/>
        <v>15</v>
      </c>
      <c r="E53" s="59">
        <f t="shared" si="2"/>
        <v>1.1605180147692629</v>
      </c>
      <c r="F53" s="59">
        <f t="shared" si="3"/>
        <v>15.044826421817035</v>
      </c>
    </row>
    <row r="54" spans="1:6" x14ac:dyDescent="0.3">
      <c r="A54" s="54"/>
      <c r="B54" s="58">
        <f t="shared" si="5"/>
        <v>38</v>
      </c>
      <c r="C54" s="63">
        <f t="shared" si="0"/>
        <v>6309.5734448019384</v>
      </c>
      <c r="D54" s="59">
        <f t="shared" si="1"/>
        <v>15</v>
      </c>
      <c r="E54" s="59">
        <f t="shared" si="2"/>
        <v>1.034312769384218</v>
      </c>
      <c r="F54" s="59">
        <f t="shared" si="3"/>
        <v>15.035617809219255</v>
      </c>
    </row>
    <row r="55" spans="1:6" x14ac:dyDescent="0.3">
      <c r="A55" s="54"/>
      <c r="B55" s="58">
        <f t="shared" si="5"/>
        <v>39</v>
      </c>
      <c r="C55" s="63">
        <f t="shared" si="0"/>
        <v>7943.2823472428154</v>
      </c>
      <c r="D55" s="59">
        <f t="shared" si="1"/>
        <v>15</v>
      </c>
      <c r="E55" s="59">
        <f t="shared" si="2"/>
        <v>0.92183222603739701</v>
      </c>
      <c r="F55" s="59">
        <f t="shared" si="3"/>
        <v>15.02829912707892</v>
      </c>
    </row>
    <row r="56" spans="1:6" x14ac:dyDescent="0.3">
      <c r="A56" s="54"/>
      <c r="B56" s="58">
        <f t="shared" si="5"/>
        <v>40</v>
      </c>
      <c r="C56" s="63">
        <f t="shared" si="0"/>
        <v>10000</v>
      </c>
      <c r="D56" s="59">
        <f t="shared" si="1"/>
        <v>15</v>
      </c>
      <c r="E56" s="59">
        <f t="shared" si="2"/>
        <v>0.82158383625774922</v>
      </c>
      <c r="F56" s="59">
        <f t="shared" si="3"/>
        <v>15.022483150265138</v>
      </c>
    </row>
    <row r="57" spans="1:6" x14ac:dyDescent="0.3">
      <c r="A57" s="54"/>
      <c r="B57" s="58">
        <f t="shared" si="5"/>
        <v>41</v>
      </c>
      <c r="C57" s="63">
        <f t="shared" ref="C57:C60" si="6">$B$12*10^(B57/$B$13)</f>
        <v>12589.254117941671</v>
      </c>
      <c r="D57" s="59">
        <f t="shared" si="1"/>
        <v>15</v>
      </c>
      <c r="E57" s="59">
        <f t="shared" ref="E57:E60" si="7">$B$9/SQRT(C57)</f>
        <v>0.73223736482024049</v>
      </c>
      <c r="F57" s="59">
        <f t="shared" ref="F57:F60" si="8">SQRT(D57^2+E57^2)</f>
        <v>15.017861750543547</v>
      </c>
    </row>
    <row r="58" spans="1:6" x14ac:dyDescent="0.3">
      <c r="B58" s="58">
        <f t="shared" si="5"/>
        <v>42</v>
      </c>
      <c r="C58" s="63">
        <f t="shared" si="6"/>
        <v>15848.931924611146</v>
      </c>
      <c r="D58" s="59">
        <f t="shared" si="1"/>
        <v>15</v>
      </c>
      <c r="E58" s="59">
        <f t="shared" si="7"/>
        <v>0.6526072383326208</v>
      </c>
      <c r="F58" s="59">
        <f t="shared" si="8"/>
        <v>15.014189828543001</v>
      </c>
    </row>
    <row r="59" spans="1:6" x14ac:dyDescent="0.3">
      <c r="B59" s="58">
        <f t="shared" si="5"/>
        <v>43</v>
      </c>
      <c r="C59" s="63">
        <f t="shared" si="6"/>
        <v>19952.623149688792</v>
      </c>
      <c r="D59" s="59">
        <f t="shared" si="1"/>
        <v>15</v>
      </c>
      <c r="E59" s="59">
        <f t="shared" si="7"/>
        <v>0.58163681339682138</v>
      </c>
      <c r="F59" s="59">
        <f t="shared" si="8"/>
        <v>15.011272477131923</v>
      </c>
    </row>
    <row r="60" spans="1:6" x14ac:dyDescent="0.3">
      <c r="B60" s="58">
        <f t="shared" si="5"/>
        <v>44</v>
      </c>
      <c r="C60" s="63">
        <f t="shared" si="6"/>
        <v>25118.86431509586</v>
      </c>
      <c r="D60" s="59">
        <f t="shared" si="1"/>
        <v>15</v>
      </c>
      <c r="E60" s="59">
        <f t="shared" si="7"/>
        <v>0.51838435559303875</v>
      </c>
      <c r="F60" s="59">
        <f t="shared" si="8"/>
        <v>15.008954738426111</v>
      </c>
    </row>
    <row r="61" spans="1:6" x14ac:dyDescent="0.3">
      <c r="B61" s="58">
        <f t="shared" si="5"/>
        <v>45</v>
      </c>
      <c r="C61" s="63">
        <f t="shared" ref="C61:C65" si="9">$B$12*10^(B61/$B$13)</f>
        <v>31622.77660168384</v>
      </c>
      <c r="D61" s="59">
        <f t="shared" si="1"/>
        <v>15</v>
      </c>
      <c r="E61" s="59">
        <f t="shared" ref="E61:E65" si="10">$B$9/SQRT(C61)</f>
        <v>0.46201054323615309</v>
      </c>
      <c r="F61" s="59">
        <f t="shared" ref="F61:F65" si="11">SQRT(D61^2+E61^2)</f>
        <v>15.007113438035356</v>
      </c>
    </row>
    <row r="62" spans="1:6" x14ac:dyDescent="0.3">
      <c r="B62" s="58">
        <f t="shared" si="5"/>
        <v>46</v>
      </c>
      <c r="C62" s="63">
        <f t="shared" si="9"/>
        <v>39810.717055349742</v>
      </c>
      <c r="D62" s="59">
        <f t="shared" si="1"/>
        <v>15</v>
      </c>
      <c r="E62" s="59">
        <f t="shared" si="10"/>
        <v>0.41176733008690308</v>
      </c>
      <c r="F62" s="59">
        <f t="shared" si="11"/>
        <v>15.005650680131366</v>
      </c>
    </row>
    <row r="63" spans="1:6" x14ac:dyDescent="0.3">
      <c r="B63" s="58">
        <f t="shared" si="5"/>
        <v>47</v>
      </c>
      <c r="C63" s="63">
        <f t="shared" si="9"/>
        <v>50118.723362727294</v>
      </c>
      <c r="D63" s="59">
        <f t="shared" si="1"/>
        <v>15</v>
      </c>
      <c r="E63" s="59">
        <f t="shared" si="10"/>
        <v>0.36698801923277985</v>
      </c>
      <c r="F63" s="59">
        <f t="shared" si="11"/>
        <v>15.00448866860382</v>
      </c>
    </row>
    <row r="64" spans="1:6" x14ac:dyDescent="0.3">
      <c r="B64" s="58">
        <f t="shared" si="5"/>
        <v>48</v>
      </c>
      <c r="C64" s="63">
        <f t="shared" si="9"/>
        <v>63095.734448019342</v>
      </c>
      <c r="D64" s="59">
        <f t="shared" si="1"/>
        <v>15</v>
      </c>
      <c r="E64" s="59">
        <f t="shared" si="10"/>
        <v>0.32707841642506025</v>
      </c>
      <c r="F64" s="59">
        <f t="shared" si="11"/>
        <v>15.003565585902942</v>
      </c>
    </row>
    <row r="65" spans="2:6" x14ac:dyDescent="0.3">
      <c r="B65" s="58">
        <f t="shared" si="5"/>
        <v>49</v>
      </c>
      <c r="C65" s="63">
        <f t="shared" si="9"/>
        <v>79432.823472428237</v>
      </c>
      <c r="D65" s="59">
        <f t="shared" si="1"/>
        <v>15</v>
      </c>
      <c r="E65" s="59">
        <f t="shared" si="10"/>
        <v>0.29150894548213474</v>
      </c>
      <c r="F65" s="59">
        <f t="shared" si="11"/>
        <v>15.002832314776304</v>
      </c>
    </row>
  </sheetData>
  <hyperlinks>
    <hyperlink ref="A2" r:id="rId1" xr:uid="{3DE361DA-3199-493B-83B8-000053491D5B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Amp1_Calc</vt:lpstr>
      <vt:lpstr>Offset Errors</vt:lpstr>
      <vt:lpstr>Gain Errors</vt:lpstr>
      <vt:lpstr>1f Noise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2025-04-17T18:03:04Z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