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3FC19FCA-A677-40E4-B812-C24DAEADFB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 Amp1 Calc" sheetId="8" r:id="rId1"/>
    <sheet name="Offset Errors" sheetId="9" r:id="rId2"/>
    <sheet name="Gain Errors" sheetId="10" r:id="rId3"/>
  </sheets>
  <calcPr calcId="191029"/>
</workbook>
</file>

<file path=xl/calcChain.xml><?xml version="1.0" encoding="utf-8"?>
<calcChain xmlns="http://schemas.openxmlformats.org/spreadsheetml/2006/main">
  <c r="D26" i="9" l="1"/>
  <c r="C36" i="8"/>
  <c r="G25" i="9" s="1"/>
  <c r="C59" i="8"/>
  <c r="C55" i="8"/>
  <c r="C22" i="8" l="1"/>
  <c r="I24" i="9" s="1"/>
  <c r="G23" i="9"/>
  <c r="D37" i="9"/>
  <c r="D38" i="9"/>
  <c r="G38" i="9"/>
  <c r="C27" i="8"/>
  <c r="G35" i="9"/>
  <c r="G24" i="9"/>
  <c r="C54" i="8"/>
  <c r="C57" i="8"/>
  <c r="C58" i="8"/>
  <c r="C53" i="8"/>
  <c r="C25" i="8"/>
  <c r="H35" i="9" l="1"/>
  <c r="G26" i="9"/>
  <c r="H26" i="9" s="1"/>
  <c r="I38" i="9"/>
  <c r="I35" i="9"/>
  <c r="J35" i="9" l="1"/>
  <c r="K35" i="9" s="1"/>
  <c r="H24" i="9"/>
  <c r="G37" i="9"/>
  <c r="H37" i="9" s="1"/>
  <c r="J37" i="9" s="1"/>
  <c r="H38" i="9"/>
  <c r="J38" i="9" s="1"/>
  <c r="H23" i="9"/>
  <c r="J23" i="9" s="1"/>
  <c r="K23" i="9" s="1"/>
  <c r="G34" i="9"/>
  <c r="H34" i="9" s="1"/>
  <c r="J34" i="9" s="1"/>
  <c r="N34" i="9" s="1"/>
  <c r="H25" i="9"/>
  <c r="J25" i="9" s="1"/>
  <c r="J26" i="9"/>
  <c r="G36" i="9"/>
  <c r="H36" i="9" s="1"/>
  <c r="J36" i="9" s="1"/>
  <c r="J24" i="9"/>
  <c r="G33" i="10"/>
  <c r="H33" i="10" s="1"/>
  <c r="I33" i="10" s="1"/>
  <c r="G24" i="10"/>
  <c r="H24" i="10" s="1"/>
  <c r="I24" i="10" s="1"/>
  <c r="G32" i="10"/>
  <c r="H32" i="10" s="1"/>
  <c r="I32" i="10" s="1"/>
  <c r="G23" i="10"/>
  <c r="H23" i="10" s="1"/>
  <c r="I23" i="10" s="1"/>
  <c r="N35" i="9" l="1"/>
  <c r="M35" i="9"/>
  <c r="N38" i="9"/>
  <c r="M38" i="9"/>
  <c r="K38" i="9"/>
  <c r="K37" i="9"/>
  <c r="M37" i="9"/>
  <c r="N37" i="9"/>
  <c r="N23" i="9"/>
  <c r="K34" i="9"/>
  <c r="M34" i="9"/>
  <c r="M23" i="9"/>
  <c r="N26" i="9"/>
  <c r="K26" i="9"/>
  <c r="M26" i="9"/>
  <c r="N36" i="9"/>
  <c r="K36" i="9"/>
  <c r="M36" i="9"/>
  <c r="N24" i="9"/>
  <c r="M24" i="9"/>
  <c r="K24" i="9"/>
  <c r="K25" i="9"/>
  <c r="N25" i="9"/>
  <c r="M25" i="9"/>
  <c r="M23" i="10"/>
  <c r="M27" i="10" s="1" a="1"/>
  <c r="L23" i="10"/>
  <c r="M32" i="10"/>
  <c r="L32" i="10"/>
  <c r="M24" i="10"/>
  <c r="L24" i="10"/>
  <c r="M33" i="10"/>
  <c r="L33" i="10"/>
  <c r="N41" i="9" l="1" a="1"/>
  <c r="N41" i="9" s="1"/>
  <c r="M41" i="9"/>
  <c r="N29" i="9" a="1"/>
  <c r="N29" i="9" s="1"/>
  <c r="M29" i="9"/>
  <c r="K29" i="9" s="1"/>
  <c r="L36" i="10"/>
  <c r="I36" i="10" s="1"/>
  <c r="M36" i="10" a="1"/>
  <c r="M36" i="10" s="1"/>
  <c r="L27" i="10"/>
  <c r="M27" i="10"/>
  <c r="C13" i="10" l="1"/>
  <c r="I27" i="10"/>
  <c r="D13" i="9"/>
  <c r="K41" i="9"/>
  <c r="C13" i="9"/>
  <c r="E13" i="9" s="1"/>
  <c r="E16" i="9" s="1"/>
  <c r="D13" i="10"/>
  <c r="E13" i="10" l="1"/>
  <c r="E16" i="10" s="1"/>
  <c r="F13" i="9"/>
  <c r="G13" i="9" s="1"/>
  <c r="F13" i="10" l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6" authorId="0" shapeId="0" xr:uid="{00D5E3FF-D498-4D36-AA5B-BF6BA0D14ECC}">
      <text>
        <r>
          <rPr>
            <sz val="9"/>
            <color indexed="81"/>
            <rFont val="Tahoma"/>
            <family val="2"/>
          </rPr>
          <t>The voltage at each input node is calculated as
vp = iboff/2 * Ra||Rb
vn = -iboff/2 * Rc||Rd
therefore
vp - vn = ios/2*(Ra||Rb+Rc||Rd)
S = (vp-vn)/ios = 1/2*(Ra||Rb+Rc||Rd}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F03D92FE-349C-479F-B151-A667D8EDD8E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50B38279-F0ED-4E1F-8E42-95B633AE60E7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422F4D0A-5969-48FB-ABBC-5D88801F3E0E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A97DE0F1-A83E-41D5-B83C-5AA798431D56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G22" authorId="0" shapeId="0" xr:uid="{A119D6B8-BDB8-4824-9CE4-A07B33AD23DE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D26" authorId="0" shapeId="0" xr:uid="{DBE6FBF7-FD70-43C5-B034-A3274C92DA61}">
      <text>
        <r>
          <rPr>
            <sz val="9"/>
            <color indexed="81"/>
            <rFont val="Tahoma"/>
            <family val="2"/>
          </rPr>
          <t xml:space="preserve">Get ratio from CMRR dB spec.
Ex: Kcmr = 10^(-CMRR/20)
              = 10^(-120/20)
              = 1e-6 </t>
        </r>
      </text>
    </comment>
    <comment ref="H26" authorId="0" shapeId="0" xr:uid="{400CC4B4-6E56-414D-B9A2-46DFCEB41F60}">
      <text>
        <r>
          <rPr>
            <sz val="9"/>
            <color indexed="81"/>
            <rFont val="Tahoma"/>
            <family val="2"/>
          </rPr>
          <t>Special case calculation:
voffset = e*Vcm*S
get Vcm from CALC sheet</t>
        </r>
      </text>
    </comment>
    <comment ref="C27" authorId="0" shapeId="0" xr:uid="{048F0899-9651-414A-A54B-ADB6755F564F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2F97DA4C-A74A-4AA0-86C5-1DFEBFC3374E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3E9617B8-2D4B-43A4-85B1-13D3699D857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G33" authorId="0" shapeId="0" xr:uid="{BF26D8B3-F36C-4CFE-BF0E-D0943EC4D74D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D37" authorId="0" shapeId="0" xr:uid="{873A2829-CA33-4132-8393-E92E9D2C764F}">
      <text>
        <r>
          <rPr>
            <sz val="9"/>
            <color indexed="81"/>
            <rFont val="Tahoma"/>
            <family val="2"/>
          </rPr>
          <t>Vpp causes a max error of Vp = Vpp/2
Ex: Vp = 1.5uVpp / 2 
          = 0.75uVp</t>
        </r>
      </text>
    </comment>
    <comment ref="D38" authorId="0" shapeId="0" xr:uid="{6A47ACE6-6FC4-41FE-BCE0-5C222F59B8BF}">
      <text>
        <r>
          <rPr>
            <sz val="9"/>
            <color indexed="81"/>
            <rFont val="Tahoma"/>
            <family val="2"/>
          </rPr>
          <t>Get Vnonlin from datasheet given in ppm at Vomax and specific K.
Vnonlin = NONLIN(ppm) * 1e-6 * Vomax
            = 50ppm * 1e-6 * 4V (at K=100)</t>
        </r>
      </text>
    </comment>
    <comment ref="C39" authorId="0" shapeId="0" xr:uid="{A13D318E-638E-4783-A841-39904854D7E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40" authorId="0" shapeId="0" xr:uid="{EF6AC28C-AAB1-4F63-B15A-EB0C844E7E5A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40" authorId="0" shapeId="0" xr:uid="{06E5D9DD-6489-45A5-BDB3-D6FFA50A26E5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0C92BDC-03F2-4D06-A9E4-275D97151CEF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B64191F9-93BC-4BB0-8254-A400A9C68BB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FD49F39A-FA48-43E2-A0A0-CDE8949D16EA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E5A9B5B7-9CB4-410E-853E-38B165FAB55C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G22" authorId="0" shapeId="0" xr:uid="{7B79CA40-73D2-4D44-84A1-3A558A9FBBE7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C25" authorId="0" shapeId="0" xr:uid="{8982E816-317E-47B2-A090-67AE77E5B123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L26" authorId="0" shapeId="0" xr:uid="{E09F1793-3256-46D6-A1FB-861DB4577D3D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26" authorId="0" shapeId="0" xr:uid="{2E3BC422-D55C-4651-AD73-99485E7D3089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G31" authorId="0" shapeId="0" xr:uid="{C486938E-7CDD-42E4-9C1D-559C38F85DFD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C34" authorId="0" shapeId="0" xr:uid="{F3D3698A-8F87-46CA-955A-2C8F2156224A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L35" authorId="0" shapeId="0" xr:uid="{4B7E9BFC-6D90-4F12-A573-BDF22185D699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M35" authorId="0" shapeId="0" xr:uid="{E1F10F37-F57E-42DF-8A66-9856309D38D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<sst xmlns="http://schemas.openxmlformats.org/spreadsheetml/2006/main" count="296" uniqueCount="157">
  <si>
    <t>S</t>
  </si>
  <si>
    <t>Components &amp; Parameters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</si>
  <si>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</si>
  <si>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</si>
  <si>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</si>
  <si>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</si>
  <si>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</si>
  <si>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</si>
  <si>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</si>
  <si>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</si>
  <si>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</si>
  <si>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</si>
  <si>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</si>
  <si>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</si>
  <si>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</si>
  <si>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Component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</si>
  <si>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</si>
  <si>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</si>
  <si>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</si>
  <si>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</si>
  <si>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</si>
  <si>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</si>
  <si>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</si>
  <si>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</si>
  <si>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Vs_FS</t>
  </si>
  <si>
    <t>Offset Error</t>
  </si>
  <si>
    <t>Gain Error</t>
  </si>
  <si>
    <t>Initial Error</t>
  </si>
  <si>
    <t>Total Error</t>
  </si>
  <si>
    <t>end</t>
  </si>
  <si>
    <t>Temp Change</t>
  </si>
  <si>
    <t>Source Full Scale</t>
  </si>
  <si>
    <t>Margin %</t>
  </si>
  <si>
    <t xml:space="preserve">   Error Budget Analysis</t>
  </si>
  <si>
    <t>P/F ?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</si>
  <si>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</si>
  <si>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</si>
  <si>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</si>
  <si>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Error (V)</t>
  </si>
  <si>
    <t>Error (%)</t>
  </si>
  <si>
    <t>Gain Sensitivity</t>
  </si>
  <si>
    <t>Amp 1</t>
  </si>
  <si>
    <t>Block</t>
  </si>
  <si>
    <t>"</t>
  </si>
  <si>
    <t>Circuit Block</t>
  </si>
  <si>
    <t xml:space="preserve">K' is the gain with a 1% resistor tolerance used to calculate sensitivity S. </t>
  </si>
  <si>
    <t xml:space="preserve">((K'-K)/K) / 0.01 </t>
  </si>
  <si>
    <t>Ref, Part</t>
  </si>
  <si>
    <t>Output Node</t>
  </si>
  <si>
    <t>Signal Levels</t>
  </si>
  <si>
    <t>Input Full-Scale</t>
  </si>
  <si>
    <t>Output Full-Scale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</si>
  <si>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</si>
  <si>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</si>
  <si>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</si>
  <si>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</si>
  <si>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</si>
  <si>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</si>
  <si>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</si>
  <si>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Worst Case Sum</t>
  </si>
  <si>
    <t>Roor Sum Square</t>
  </si>
  <si>
    <t>abs(ΔK/K)</t>
  </si>
  <si>
    <t>(ΔK/K)^2</t>
  </si>
  <si>
    <t>Input Node</t>
  </si>
  <si>
    <t>vin</t>
  </si>
  <si>
    <t>vs</t>
  </si>
  <si>
    <t>S   (How does each error source contribute to a signal Gain error)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</si>
  <si>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</si>
  <si>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ΔK/K = e*ΔT*S 
(%)</t>
  </si>
  <si>
    <t>Name</t>
  </si>
  <si>
    <t>vin_FS</t>
  </si>
  <si>
    <t>vout_FS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</si>
  <si>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</si>
  <si>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ΔVoffset = e*S
(V)</t>
  </si>
  <si>
    <t>ΔVoffset = e*ΔT*S
(V)</t>
  </si>
  <si>
    <t>abs(ΔVoffset_rti)</t>
  </si>
  <si>
    <t>Δvoffset_rti^2</t>
  </si>
  <si>
    <t>Inst Amp1</t>
  </si>
  <si>
    <t>external gain resistor</t>
  </si>
  <si>
    <t>internal gain resistor</t>
  </si>
  <si>
    <t>R3</t>
  </si>
  <si>
    <t>R4</t>
  </si>
  <si>
    <t>Wheatstone Bridge</t>
  </si>
  <si>
    <t>Inst Amp</t>
  </si>
  <si>
    <t>Offset Error RTI (V)</t>
  </si>
  <si>
    <t>RG_int Tol</t>
  </si>
  <si>
    <t>Rg_ext Tol</t>
  </si>
  <si>
    <t>U1, AD623b</t>
  </si>
  <si>
    <t>ratio</t>
  </si>
  <si>
    <t>V common mode</t>
  </si>
  <si>
    <t>vcm</t>
  </si>
  <si>
    <t>Supply</t>
  </si>
  <si>
    <t>Vcc</t>
  </si>
  <si>
    <t>Vcc*R2/(R1+R2)</t>
  </si>
  <si>
    <t>ppm</t>
  </si>
  <si>
    <t>RG_int TC</t>
  </si>
  <si>
    <t>Rg_ext TC</t>
  </si>
  <si>
    <t>Vp</t>
  </si>
  <si>
    <t>`</t>
  </si>
  <si>
    <t>V/V</t>
  </si>
  <si>
    <t>V/A</t>
  </si>
  <si>
    <t>V/ppm</t>
  </si>
  <si>
    <t>AN-539, APPLICATION NOTE, Analog devices</t>
  </si>
  <si>
    <t>RG_int</t>
  </si>
  <si>
    <t>RG_ext</t>
  </si>
  <si>
    <t>RG_int/RG_ext + 1</t>
  </si>
  <si>
    <t>K( RG_int*1.01  )</t>
  </si>
  <si>
    <t>K( RG_ext*1.01  )</t>
  </si>
  <si>
    <t>RG_int, AD623</t>
  </si>
  <si>
    <t>RG_ext, 0.1%, 10ppm/C</t>
  </si>
  <si>
    <t>Drift, Random Errors</t>
  </si>
  <si>
    <t>Drift, Other Errors</t>
  </si>
  <si>
    <t>Analysis Node</t>
  </si>
  <si>
    <t>vo</t>
  </si>
  <si>
    <t>Va</t>
  </si>
  <si>
    <t>Input Errors</t>
  </si>
  <si>
    <t>Output Errors</t>
  </si>
  <si>
    <t>ΔVoffset_rti = 
ΔVo / Ka</t>
  </si>
  <si>
    <t>WC</t>
  </si>
  <si>
    <t>S = vp /voff = 1</t>
  </si>
  <si>
    <t>S = vo/vnonlin_vo = 1</t>
  </si>
  <si>
    <t>S = vo /voff_vo = 1</t>
  </si>
  <si>
    <t>S, vp</t>
  </si>
  <si>
    <t>vo/vin = Rg_int/Rg_ext + 1</t>
  </si>
  <si>
    <t>S, vo</t>
  </si>
  <si>
    <t>vp-vn</t>
  </si>
  <si>
    <t>PASS if &gt; 0</t>
  </si>
  <si>
    <t>Gain from input to analysis node</t>
  </si>
  <si>
    <t>Ka = Va/vin</t>
  </si>
  <si>
    <t>Offset Error
at Analysis Node</t>
  </si>
  <si>
    <t>Normalized gain errors scale directly to input</t>
  </si>
  <si>
    <t>WCA Total</t>
  </si>
  <si>
    <t>RSS Total</t>
  </si>
  <si>
    <t>Accuracy Spec</t>
  </si>
  <si>
    <t>Referred to Input</t>
  </si>
  <si>
    <t>Calculate Gains, Levels, Sensitivities</t>
  </si>
  <si>
    <t>S, Analysis Node</t>
  </si>
  <si>
    <t>S   (How does each error source contribute to error at Analysis Node)</t>
  </si>
  <si>
    <t>S, (vp-vn)</t>
  </si>
  <si>
    <t>S = (vp-vn)/iboff =1/2*( R1||R2 + R3||R4 )</t>
  </si>
  <si>
    <t>voff, vnoise</t>
  </si>
  <si>
    <t>Iboff</t>
  </si>
  <si>
    <t>Vcmr</t>
  </si>
  <si>
    <t>nonlin_vo</t>
  </si>
  <si>
    <t>voff_vo</t>
  </si>
  <si>
    <t>voff</t>
  </si>
  <si>
    <t>iboff</t>
  </si>
  <si>
    <t>voff_TC</t>
  </si>
  <si>
    <t>voff_vo_TC</t>
  </si>
  <si>
    <t>iboff_TC</t>
  </si>
  <si>
    <t>vnoise</t>
  </si>
  <si>
    <t>vnonlin_vo</t>
  </si>
  <si>
    <t>CMRR</t>
  </si>
  <si>
    <t>S = vp/Vcmr</t>
  </si>
  <si>
    <t>Circuit Calc - Inst Amp1</t>
  </si>
  <si>
    <t>Offset Errors - Inst Amp</t>
  </si>
  <si>
    <t>Gain Errors - Inst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</si>
</sst>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  <numFmt numFmtId="170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11" fillId="0" borderId="0" xfId="0" applyFont="1"/>
    <xf numFmtId="0" fontId="2" fillId="6" borderId="0" xfId="0" applyFont="1" applyFill="1" applyAlignment="1">
      <alignment horizontal="center" wrapText="1"/>
    </xf>
    <xf numFmtId="170" fontId="0" fillId="0" borderId="0" xfId="0" applyNumberFormat="1" applyAlignment="1">
      <alignment horizontal="center"/>
    </xf>
    <xf numFmtId="0" fontId="0" fillId="2" borderId="0" xfId="0" quotePrefix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1" fontId="0" fillId="0" borderId="0" xfId="0" applyNumberFormat="1"/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25347519575584387"/>
          <c:y val="3.1316864906317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B-496D-88AA-D2669F0AAB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99-42FB-80C2-85D20AF6B3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99-42FB-80C2-85D20AF6B3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99-42FB-80C2-85D20AF6B342}"/>
              </c:ext>
            </c:extLst>
          </c:dPt>
          <c:cat>
            <c:strRef>
              <c:f>'Offset Errors'!$C$23:$C$27</c:f>
              <c:strCache>
                <c:ptCount val="5"/>
                <c:pt idx="0">
                  <c:v>voff</c:v>
                </c:pt>
                <c:pt idx="1">
                  <c:v>voff_vo</c:v>
                </c:pt>
                <c:pt idx="2">
                  <c:v>iboff</c:v>
                </c:pt>
                <c:pt idx="3">
                  <c:v>CMRR</c:v>
                </c:pt>
                <c:pt idx="4">
                  <c:v>end</c:v>
                </c:pt>
              </c:strCache>
            </c:strRef>
          </c:cat>
          <c:val>
            <c:numRef>
              <c:f>'Offset Errors'!$M$23:$M$27</c:f>
              <c:numCache>
                <c:formatCode>0.000000</c:formatCode>
                <c:ptCount val="5"/>
                <c:pt idx="0">
                  <c:v>1E-4</c:v>
                </c:pt>
                <c:pt idx="1">
                  <c:v>5.5868683872243651E-6</c:v>
                </c:pt>
                <c:pt idx="2">
                  <c:v>3.5000000000000004E-7</c:v>
                </c:pt>
                <c:pt idx="3">
                  <c:v>1.405853312975871E-5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Drift, Other</a:t>
            </a:r>
            <a:endParaRPr lang="en-US"/>
          </a:p>
        </c:rich>
      </c:tx>
      <c:layout>
        <c:manualLayout>
          <c:xMode val="edge"/>
          <c:yMode val="edge"/>
          <c:x val="0.12948695124962004"/>
          <c:y val="3.3380000210923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Errors'!$M$33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7-4FFB-94C2-9C8B6032EE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88-4B89-B985-374377CD14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88-4B89-B985-374377CD14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88-4B89-B985-374377CD1463}"/>
              </c:ext>
            </c:extLst>
          </c:dPt>
          <c:cat>
            <c:strRef>
              <c:f>'Offset Errors'!$C$34:$C$39</c:f>
              <c:strCache>
                <c:ptCount val="6"/>
                <c:pt idx="0">
                  <c:v>voff_TC</c:v>
                </c:pt>
                <c:pt idx="1">
                  <c:v>voff_vo_TC</c:v>
                </c:pt>
                <c:pt idx="2">
                  <c:v>iboff_TC</c:v>
                </c:pt>
                <c:pt idx="3">
                  <c:v>vnoise</c:v>
                </c:pt>
                <c:pt idx="4">
                  <c:v>vnonlin_vo</c:v>
                </c:pt>
                <c:pt idx="5">
                  <c:v>end</c:v>
                </c:pt>
              </c:strCache>
            </c:strRef>
          </c:cat>
          <c:val>
            <c:numRef>
              <c:f>'Offset Errors'!$M$34:$M$39</c:f>
              <c:numCache>
                <c:formatCode>0.000000</c:formatCode>
                <c:ptCount val="6"/>
                <c:pt idx="0">
                  <c:v>5.9999999999999995E-5</c:v>
                </c:pt>
                <c:pt idx="1">
                  <c:v>6.7042420646692384E-6</c:v>
                </c:pt>
                <c:pt idx="2">
                  <c:v>5.25E-8</c:v>
                </c:pt>
                <c:pt idx="3">
                  <c:v>7.5000000000000002E-7</c:v>
                </c:pt>
                <c:pt idx="4">
                  <c:v>2.2347473548897459E-6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861324172308333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Errors'!$L$22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cat>
            <c:strRef>
              <c:f>'Gain Errors'!$C$23:$C$24</c:f>
              <c:strCache>
                <c:ptCount val="2"/>
                <c:pt idx="0">
                  <c:v>RG_int Tol</c:v>
                </c:pt>
                <c:pt idx="1">
                  <c:v>Rg_ext Tol</c:v>
                </c:pt>
              </c:strCache>
            </c:strRef>
          </c:cat>
          <c:val>
            <c:numRef>
              <c:f>'Gain Errors'!$L$23:$L$24</c:f>
              <c:numCache>
                <c:formatCode>0.000</c:formatCode>
                <c:ptCount val="2"/>
                <c:pt idx="0">
                  <c:v>0.34608919212894379</c:v>
                </c:pt>
                <c:pt idx="1">
                  <c:v>9.7903590418371045E-2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7834767216745931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Drift, Random</a:t>
            </a:r>
            <a:endParaRPr lang="en-US"/>
          </a:p>
        </c:rich>
      </c:tx>
      <c:layout>
        <c:manualLayout>
          <c:xMode val="edge"/>
          <c:yMode val="edge"/>
          <c:x val="0.133831748333038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Errors'!$L$31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cat>
            <c:strRef>
              <c:f>'Gain Errors'!$C$32:$C$33</c:f>
              <c:strCache>
                <c:ptCount val="2"/>
                <c:pt idx="0">
                  <c:v>RG_int TC</c:v>
                </c:pt>
                <c:pt idx="1">
                  <c:v>Rg_ext TC</c:v>
                </c:pt>
              </c:strCache>
            </c:strRef>
          </c:cat>
          <c:val>
            <c:numRef>
              <c:f>'Gain Errors'!$L$32:$L$33</c:f>
              <c:numCache>
                <c:formatCode>0.000</c:formatCode>
                <c:ptCount val="2"/>
                <c:pt idx="0">
                  <c:v>0.29664787896766615</c:v>
                </c:pt>
                <c:pt idx="1">
                  <c:v>5.8742154251022624E-2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200970185655980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342901</xdr:colOff>
      <xdr:row>5</xdr:row>
      <xdr:rowOff>44450</xdr:rowOff>
    </xdr:from>
    <xdr:to>
      <xdr:col>18</xdr:col>
      <xdr:colOff>65095</xdr:colOff>
      <xdr:row>25</xdr:row>
      <xdr:rowOff>154214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F1C0B-B44D-AB82-2330-FF9AB60C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0615" y="1105807"/>
          <a:ext cx="7986266" cy="3738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</xdr:colOff>
      <xdr:row>6</xdr:row>
      <xdr:rowOff>11141</xdr:rowOff>
    </xdr:from>
    <xdr:to>
      <xdr:col>11</xdr:col>
      <xdr:colOff>285750</xdr:colOff>
      <xdr:row>15</xdr:row>
      <xdr:rowOff>164353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323850</xdr:colOff>
      <xdr:row>6</xdr:row>
      <xdr:rowOff>17171</xdr:rowOff>
    </xdr:from>
    <xdr:to>
      <xdr:col>14</xdr:col>
      <xdr:colOff>176956</xdr:colOff>
      <xdr:row>15</xdr:row>
      <xdr:rowOff>164354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185529</xdr:colOff>
      <xdr:row>6</xdr:row>
      <xdr:rowOff>48120</xdr:rowOff>
    </xdr:from>
    <xdr:to>
      <xdr:col>10</xdr:col>
      <xdr:colOff>598019</xdr:colOff>
      <xdr:row>16</xdr:row>
      <xdr:rowOff>9338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53033</xdr:colOff>
      <xdr:row>6</xdr:row>
      <xdr:rowOff>3564</xdr:rowOff>
    </xdr:from>
    <xdr:to>
      <xdr:col>15</xdr:col>
      <xdr:colOff>74705</xdr:colOff>
      <xdr:row>15</xdr:row>
      <xdr:rowOff>171823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59"/>
  <sheetViews>
    <sheetView tabSelected="1" zoomScale="85" zoomScaleNormal="85" workbookViewId="0">
      <selection activeCell="O2" sqref="O2"/>
    </sheetView>
  </sheetViews>
  <sheetFormatPr defaultRowHeight="14.5" x14ac:dyDescent="0.35"/>
  <cols>
    <col min="1" max="1" width="18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0" t="s">
        <v>154</v>
      </c>
      <c r="F1" s="1"/>
    </row>
    <row r="2" spans="1:8" ht="15.5" x14ac:dyDescent="0.35">
      <c r="A2" s="43" t="s">
        <v>135</v>
      </c>
      <c r="E2" s="3"/>
      <c r="F2" s="2" t="s">
        <v>21</v>
      </c>
    </row>
    <row r="3" spans="1:8" x14ac:dyDescent="0.35">
      <c r="E3" s="4"/>
      <c r="F3" s="2" t="s">
        <v>22</v>
      </c>
      <c r="H3" s="2"/>
    </row>
    <row r="4" spans="1:8" ht="18.5" x14ac:dyDescent="0.45">
      <c r="F4" s="1"/>
      <c r="H4" s="41" t="s">
        <v>102</v>
      </c>
    </row>
    <row r="5" spans="1:8" x14ac:dyDescent="0.35">
      <c r="A5" s="5" t="s">
        <v>1</v>
      </c>
      <c r="B5" s="5"/>
      <c r="C5" s="5"/>
      <c r="D5" s="5"/>
      <c r="E5" s="5"/>
    </row>
    <row r="7" spans="1:8" x14ac:dyDescent="0.35">
      <c r="A7" t="s">
        <v>44</v>
      </c>
      <c r="B7" s="3" t="s">
        <v>69</v>
      </c>
      <c r="C7" s="1" t="s">
        <v>77</v>
      </c>
    </row>
    <row r="9" spans="1:8" x14ac:dyDescent="0.35">
      <c r="A9" t="s">
        <v>91</v>
      </c>
      <c r="B9" s="3" t="s">
        <v>92</v>
      </c>
      <c r="C9" s="25">
        <v>5</v>
      </c>
    </row>
    <row r="10" spans="1:8" ht="14.25" customHeight="1" x14ac:dyDescent="0.35"/>
    <row r="11" spans="1:8" x14ac:dyDescent="0.35">
      <c r="A11" t="s">
        <v>82</v>
      </c>
      <c r="B11" s="3" t="s">
        <v>2</v>
      </c>
      <c r="C11" s="1">
        <v>350</v>
      </c>
      <c r="D11" t="s">
        <v>11</v>
      </c>
    </row>
    <row r="12" spans="1:8" x14ac:dyDescent="0.35">
      <c r="B12" s="3" t="s">
        <v>3</v>
      </c>
      <c r="C12" s="1">
        <v>350</v>
      </c>
      <c r="D12" t="s">
        <v>11</v>
      </c>
    </row>
    <row r="13" spans="1:8" x14ac:dyDescent="0.35">
      <c r="B13" s="3" t="s">
        <v>80</v>
      </c>
      <c r="C13" s="1">
        <v>350</v>
      </c>
      <c r="D13" t="s">
        <v>11</v>
      </c>
    </row>
    <row r="14" spans="1:8" x14ac:dyDescent="0.35">
      <c r="B14" s="3" t="s">
        <v>81</v>
      </c>
      <c r="C14" s="1">
        <v>350</v>
      </c>
      <c r="D14" t="s">
        <v>11</v>
      </c>
    </row>
    <row r="16" spans="1:8" x14ac:dyDescent="0.35">
      <c r="A16" t="s">
        <v>83</v>
      </c>
      <c r="B16" s="3" t="s">
        <v>103</v>
      </c>
      <c r="C16" s="1">
        <v>100000</v>
      </c>
      <c r="D16" t="s">
        <v>79</v>
      </c>
    </row>
    <row r="17" spans="1:10" x14ac:dyDescent="0.35">
      <c r="B17" s="3" t="s">
        <v>104</v>
      </c>
      <c r="C17" s="1">
        <v>1130</v>
      </c>
      <c r="D17" t="s">
        <v>78</v>
      </c>
    </row>
    <row r="19" spans="1:10" x14ac:dyDescent="0.35">
      <c r="A19" t="s">
        <v>63</v>
      </c>
      <c r="B19" s="3" t="s">
        <v>64</v>
      </c>
      <c r="C19" s="1" t="s">
        <v>125</v>
      </c>
    </row>
    <row r="20" spans="1:10" x14ac:dyDescent="0.35">
      <c r="A20" t="s">
        <v>48</v>
      </c>
      <c r="B20" s="3" t="s">
        <v>113</v>
      </c>
      <c r="C20" s="1" t="s">
        <v>113</v>
      </c>
    </row>
    <row r="22" spans="1:10" x14ac:dyDescent="0.35">
      <c r="A22" t="s">
        <v>7</v>
      </c>
      <c r="B22" s="4" t="s">
        <v>4</v>
      </c>
      <c r="C22" s="10">
        <f>$C$16/$C$17+1</f>
        <v>89.495575221238937</v>
      </c>
      <c r="D22" t="s">
        <v>123</v>
      </c>
    </row>
    <row r="24" spans="1:10" x14ac:dyDescent="0.35">
      <c r="A24" t="s">
        <v>49</v>
      </c>
      <c r="B24" s="3" t="s">
        <v>70</v>
      </c>
      <c r="C24" s="6">
        <v>0.02</v>
      </c>
      <c r="D24" s="19" t="s">
        <v>50</v>
      </c>
    </row>
    <row r="25" spans="1:10" x14ac:dyDescent="0.35">
      <c r="B25" s="4" t="s">
        <v>71</v>
      </c>
      <c r="C25" s="10">
        <f>C24*C22</f>
        <v>1.7899115044247789</v>
      </c>
      <c r="D25" t="s">
        <v>51</v>
      </c>
    </row>
    <row r="27" spans="1:10" x14ac:dyDescent="0.35">
      <c r="A27" t="s">
        <v>89</v>
      </c>
      <c r="B27" s="3" t="s">
        <v>90</v>
      </c>
      <c r="C27" s="6">
        <f>$C$9*$C$12/($C$11+$C$12)</f>
        <v>2.5</v>
      </c>
      <c r="D27" s="19" t="s">
        <v>93</v>
      </c>
    </row>
    <row r="30" spans="1:10" x14ac:dyDescent="0.35">
      <c r="A30" s="15" t="s">
        <v>54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35">
      <c r="A31" t="s">
        <v>137</v>
      </c>
      <c r="B31" s="9"/>
      <c r="E31" s="9"/>
    </row>
    <row r="32" spans="1:10" x14ac:dyDescent="0.35">
      <c r="A32" s="7"/>
      <c r="B32" s="9"/>
      <c r="E32" s="9"/>
    </row>
    <row r="33" spans="1:10" x14ac:dyDescent="0.35">
      <c r="A33" s="35" t="s">
        <v>115</v>
      </c>
      <c r="B33" t="s">
        <v>136</v>
      </c>
    </row>
    <row r="34" spans="1:10" x14ac:dyDescent="0.35">
      <c r="A34" s="11" t="s">
        <v>140</v>
      </c>
      <c r="B34" s="4" t="s">
        <v>122</v>
      </c>
      <c r="C34" s="10">
        <v>1</v>
      </c>
      <c r="D34" t="s">
        <v>99</v>
      </c>
      <c r="E34" s="2" t="s">
        <v>119</v>
      </c>
      <c r="I34" s="25"/>
    </row>
    <row r="35" spans="1:10" x14ac:dyDescent="0.35">
      <c r="A35" s="11"/>
      <c r="C35" s="10"/>
      <c r="E35" s="2"/>
      <c r="I35" s="1"/>
    </row>
    <row r="36" spans="1:10" x14ac:dyDescent="0.35">
      <c r="A36" s="11" t="s">
        <v>141</v>
      </c>
      <c r="B36" s="4" t="s">
        <v>138</v>
      </c>
      <c r="C36" s="16">
        <f>1/2*(1/(1/$C$11+1/$C$12)+1/(1/$C$13+1/$C$14) )</f>
        <v>175</v>
      </c>
      <c r="D36" t="s">
        <v>100</v>
      </c>
      <c r="E36" s="2" t="s">
        <v>139</v>
      </c>
    </row>
    <row r="37" spans="1:10" x14ac:dyDescent="0.35">
      <c r="A37" s="11"/>
      <c r="C37" s="16"/>
      <c r="E37" s="2"/>
    </row>
    <row r="38" spans="1:10" x14ac:dyDescent="0.35">
      <c r="A38" s="11" t="s">
        <v>142</v>
      </c>
      <c r="B38" s="4" t="s">
        <v>122</v>
      </c>
      <c r="C38" s="10">
        <v>1</v>
      </c>
      <c r="D38" t="s">
        <v>99</v>
      </c>
      <c r="E38" s="2" t="s">
        <v>153</v>
      </c>
    </row>
    <row r="39" spans="1:10" x14ac:dyDescent="0.35">
      <c r="A39" s="11"/>
      <c r="C39" s="16"/>
      <c r="E39" s="2"/>
    </row>
    <row r="40" spans="1:10" x14ac:dyDescent="0.35">
      <c r="A40" s="35" t="s">
        <v>116</v>
      </c>
      <c r="C40" s="16"/>
    </row>
    <row r="41" spans="1:10" x14ac:dyDescent="0.35">
      <c r="A41" s="11" t="s">
        <v>144</v>
      </c>
      <c r="B41" s="4" t="s">
        <v>124</v>
      </c>
      <c r="C41" s="10">
        <v>1</v>
      </c>
      <c r="D41" t="s">
        <v>99</v>
      </c>
      <c r="E41" s="2" t="s">
        <v>121</v>
      </c>
      <c r="I41" s="1"/>
    </row>
    <row r="42" spans="1:10" x14ac:dyDescent="0.35">
      <c r="A42" s="11"/>
      <c r="C42" s="10"/>
      <c r="E42" s="2"/>
    </row>
    <row r="43" spans="1:10" x14ac:dyDescent="0.35">
      <c r="A43" s="11" t="s">
        <v>143</v>
      </c>
      <c r="B43" s="4" t="s">
        <v>124</v>
      </c>
      <c r="C43" s="10">
        <v>1</v>
      </c>
      <c r="D43" t="s">
        <v>101</v>
      </c>
      <c r="E43" s="2" t="s">
        <v>120</v>
      </c>
    </row>
    <row r="44" spans="1:10" x14ac:dyDescent="0.35">
      <c r="A44" s="11"/>
      <c r="C44" s="16"/>
      <c r="E44" s="2"/>
    </row>
    <row r="45" spans="1:10" x14ac:dyDescent="0.35">
      <c r="A45" s="8" t="s">
        <v>98</v>
      </c>
      <c r="D45" s="2"/>
    </row>
    <row r="46" spans="1:10" x14ac:dyDescent="0.35">
      <c r="A46" s="15" t="s">
        <v>55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35">
      <c r="A47" t="s">
        <v>66</v>
      </c>
      <c r="B47" s="9"/>
      <c r="E47" s="9"/>
    </row>
    <row r="48" spans="1:10" x14ac:dyDescent="0.35">
      <c r="B48" s="9"/>
      <c r="E48" s="9"/>
    </row>
    <row r="49" spans="1:7" x14ac:dyDescent="0.35">
      <c r="A49" t="s">
        <v>52</v>
      </c>
      <c r="B49" s="9"/>
      <c r="D49" s="2"/>
      <c r="G49" s="13"/>
    </row>
    <row r="50" spans="1:7" x14ac:dyDescent="0.35">
      <c r="A50" t="s">
        <v>36</v>
      </c>
      <c r="B50" s="9"/>
      <c r="D50" s="2"/>
    </row>
    <row r="51" spans="1:7" x14ac:dyDescent="0.35">
      <c r="A51" t="s">
        <v>35</v>
      </c>
      <c r="B51" s="9"/>
      <c r="D51" s="2"/>
    </row>
    <row r="52" spans="1:7" x14ac:dyDescent="0.35">
      <c r="A52" s="12"/>
      <c r="B52" s="1"/>
      <c r="D52" s="1"/>
      <c r="E52" s="11"/>
    </row>
    <row r="53" spans="1:7" x14ac:dyDescent="0.35">
      <c r="A53" s="11" t="s">
        <v>103</v>
      </c>
      <c r="B53" s="4" t="s">
        <v>4</v>
      </c>
      <c r="C53" s="10">
        <f>$C$16/$C$17+1</f>
        <v>89.495575221238937</v>
      </c>
      <c r="E53" t="s">
        <v>105</v>
      </c>
      <c r="G53" s="13" t="s">
        <v>12</v>
      </c>
    </row>
    <row r="54" spans="1:7" x14ac:dyDescent="0.35">
      <c r="A54" s="8"/>
      <c r="B54" s="4" t="s">
        <v>5</v>
      </c>
      <c r="C54" s="10">
        <f>$C$16*1.01/$C$17+1</f>
        <v>90.380530973451329</v>
      </c>
      <c r="E54" s="2" t="s">
        <v>106</v>
      </c>
      <c r="G54" s="13" t="s">
        <v>45</v>
      </c>
    </row>
    <row r="55" spans="1:7" x14ac:dyDescent="0.35">
      <c r="A55" s="8"/>
      <c r="B55" s="4" t="s">
        <v>0</v>
      </c>
      <c r="C55" s="25">
        <f>((C54-C53)/C53)/0.01</f>
        <v>0.98882626322555378</v>
      </c>
      <c r="E55" s="2" t="s">
        <v>46</v>
      </c>
      <c r="G55" t="s">
        <v>13</v>
      </c>
    </row>
    <row r="57" spans="1:7" x14ac:dyDescent="0.35">
      <c r="A57" s="11" t="s">
        <v>104</v>
      </c>
      <c r="B57" s="4" t="s">
        <v>4</v>
      </c>
      <c r="C57" s="10">
        <f>$C$16/$C$17+1</f>
        <v>89.495575221238937</v>
      </c>
      <c r="E57" t="s">
        <v>105</v>
      </c>
    </row>
    <row r="58" spans="1:7" x14ac:dyDescent="0.35">
      <c r="A58" s="8"/>
      <c r="B58" s="4" t="s">
        <v>5</v>
      </c>
      <c r="C58" s="10">
        <f>$C$16/($C$17*1.01)+1</f>
        <v>88.619381407167268</v>
      </c>
      <c r="E58" s="2" t="s">
        <v>107</v>
      </c>
    </row>
    <row r="59" spans="1:7" x14ac:dyDescent="0.35">
      <c r="A59" s="8"/>
      <c r="B59" s="4" t="s">
        <v>0</v>
      </c>
      <c r="C59" s="25">
        <f>((C58-C57)/C57)/0.01</f>
        <v>-0.97903590418371045</v>
      </c>
      <c r="E59" s="2" t="s">
        <v>46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45"/>
  <sheetViews>
    <sheetView zoomScale="85" zoomScaleNormal="85" workbookViewId="0"/>
  </sheetViews>
  <sheetFormatPr defaultRowHeight="14.5" x14ac:dyDescent="0.35"/>
  <cols>
    <col min="1" max="1" width="16.1796875" customWidth="1"/>
    <col min="2" max="2" width="17.54296875" customWidth="1"/>
    <col min="3" max="3" width="16.6328125" customWidth="1"/>
    <col min="4" max="4" width="11.54296875" customWidth="1"/>
    <col min="5" max="5" width="11.1796875" customWidth="1"/>
    <col min="6" max="6" width="14.81640625" customWidth="1"/>
    <col min="7" max="7" width="13.6328125" customWidth="1"/>
    <col min="8" max="8" width="16.81640625" customWidth="1"/>
    <col min="9" max="9" width="15.81640625" customWidth="1"/>
    <col min="10" max="10" width="16" customWidth="1"/>
    <col min="11" max="11" width="7.90625" customWidth="1"/>
    <col min="12" max="12" width="10.54296875" customWidth="1"/>
    <col min="13" max="13" width="15.81640625" customWidth="1"/>
    <col min="14" max="14" width="17.36328125" customWidth="1"/>
  </cols>
  <sheetData>
    <row r="1" spans="1:14" ht="21" x14ac:dyDescent="0.5">
      <c r="A1" s="40" t="s">
        <v>155</v>
      </c>
      <c r="B1" s="40"/>
      <c r="F1" s="1"/>
      <c r="G1" s="1"/>
      <c r="H1" s="1"/>
    </row>
    <row r="2" spans="1:14" x14ac:dyDescent="0.35">
      <c r="E2" s="3"/>
      <c r="F2" s="2" t="s">
        <v>21</v>
      </c>
      <c r="G2" s="2"/>
      <c r="H2" s="2"/>
    </row>
    <row r="3" spans="1:14" x14ac:dyDescent="0.35">
      <c r="E3" s="4"/>
      <c r="F3" s="2" t="s">
        <v>22</v>
      </c>
      <c r="G3" s="2"/>
      <c r="H3" s="2"/>
      <c r="J3" s="1"/>
      <c r="K3" s="1"/>
    </row>
    <row r="4" spans="1:14" x14ac:dyDescent="0.35">
      <c r="F4" s="2"/>
      <c r="G4" s="2"/>
      <c r="H4" s="2"/>
      <c r="J4" s="1"/>
      <c r="K4" s="1"/>
    </row>
    <row r="5" spans="1:14" x14ac:dyDescent="0.35">
      <c r="A5" s="15" t="s">
        <v>53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35">
      <c r="F6" s="2"/>
      <c r="G6" s="2"/>
      <c r="H6" s="2"/>
      <c r="J6" s="1"/>
      <c r="K6" s="1"/>
    </row>
    <row r="7" spans="1:14" x14ac:dyDescent="0.35">
      <c r="B7" s="1" t="s">
        <v>31</v>
      </c>
      <c r="C7" s="19" t="s">
        <v>30</v>
      </c>
      <c r="G7" s="1"/>
      <c r="H7" s="1"/>
      <c r="I7" s="1"/>
      <c r="J7" s="1"/>
      <c r="K7" s="1"/>
    </row>
    <row r="8" spans="1:14" x14ac:dyDescent="0.35">
      <c r="B8" s="3" t="s">
        <v>24</v>
      </c>
      <c r="C8" s="46" t="s">
        <v>67</v>
      </c>
      <c r="G8" s="1"/>
      <c r="H8" s="1"/>
      <c r="I8" s="1"/>
      <c r="J8" s="1"/>
      <c r="K8" s="1"/>
    </row>
    <row r="9" spans="1:14" x14ac:dyDescent="0.35">
      <c r="B9" s="6">
        <v>0.02</v>
      </c>
      <c r="C9" s="10">
        <v>60</v>
      </c>
    </row>
    <row r="10" spans="1:14" x14ac:dyDescent="0.35">
      <c r="C10" s="10"/>
      <c r="D10" s="19"/>
    </row>
    <row r="11" spans="1:14" x14ac:dyDescent="0.35">
      <c r="B11" s="31" t="s">
        <v>133</v>
      </c>
      <c r="C11" t="s">
        <v>33</v>
      </c>
      <c r="D11" s="10"/>
      <c r="E11" s="10"/>
      <c r="F11" s="1" t="s">
        <v>126</v>
      </c>
    </row>
    <row r="12" spans="1:14" x14ac:dyDescent="0.35">
      <c r="A12" s="32" t="s">
        <v>25</v>
      </c>
      <c r="B12" s="3" t="s">
        <v>38</v>
      </c>
      <c r="C12" s="4" t="s">
        <v>27</v>
      </c>
      <c r="D12" s="4" t="s">
        <v>37</v>
      </c>
      <c r="E12" s="47" t="s">
        <v>28</v>
      </c>
      <c r="F12" s="4" t="s">
        <v>32</v>
      </c>
      <c r="G12" s="42" t="s">
        <v>34</v>
      </c>
    </row>
    <row r="13" spans="1:14" x14ac:dyDescent="0.35">
      <c r="A13" s="2" t="s">
        <v>134</v>
      </c>
      <c r="B13" s="1">
        <v>2.0000000000000001E-4</v>
      </c>
      <c r="C13" s="18">
        <f>M29</f>
        <v>1.1999540151698307E-4</v>
      </c>
      <c r="D13" s="18">
        <f>M41</f>
        <v>6.9741489419558979E-5</v>
      </c>
      <c r="E13" s="18">
        <f>C13+D13</f>
        <v>1.8973689093654204E-4</v>
      </c>
      <c r="F13" s="16">
        <f>(B13-E13)/B13*100</f>
        <v>5.1315545317289821</v>
      </c>
      <c r="G13" s="9" t="str">
        <f>IF(F13&gt;0,"PASS", "FAIL")</f>
        <v>PASS</v>
      </c>
      <c r="H13" s="9"/>
    </row>
    <row r="14" spans="1:14" x14ac:dyDescent="0.35">
      <c r="B14" s="1"/>
      <c r="C14" s="1"/>
      <c r="E14" s="1"/>
      <c r="F14" s="1"/>
    </row>
    <row r="15" spans="1:14" x14ac:dyDescent="0.35">
      <c r="B15" s="1"/>
      <c r="C15" s="1"/>
      <c r="E15" s="16"/>
      <c r="F15" s="1"/>
    </row>
    <row r="16" spans="1:14" x14ac:dyDescent="0.35">
      <c r="B16" s="1"/>
      <c r="C16" s="1"/>
      <c r="E16" s="16">
        <f>E13/B9*1000000</f>
        <v>9486.844546827102</v>
      </c>
      <c r="F16" s="2" t="s">
        <v>94</v>
      </c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s="8" customFormat="1" ht="29" x14ac:dyDescent="0.35">
      <c r="A21" s="32" t="s">
        <v>17</v>
      </c>
      <c r="B21" s="35"/>
      <c r="C21" s="36" t="s">
        <v>57</v>
      </c>
      <c r="D21" s="36" t="s">
        <v>58</v>
      </c>
      <c r="E21" s="36"/>
      <c r="F21" s="36" t="s">
        <v>112</v>
      </c>
      <c r="G21" s="36" t="s">
        <v>56</v>
      </c>
      <c r="H21" s="36" t="s">
        <v>129</v>
      </c>
      <c r="I21" s="36" t="s">
        <v>127</v>
      </c>
      <c r="J21" s="37" t="s">
        <v>84</v>
      </c>
      <c r="K21" s="36"/>
      <c r="M21" s="1" t="s">
        <v>59</v>
      </c>
      <c r="N21" s="31" t="s">
        <v>60</v>
      </c>
    </row>
    <row r="22" spans="1:14" ht="29" x14ac:dyDescent="0.35">
      <c r="A22" s="22" t="s">
        <v>44</v>
      </c>
      <c r="B22" s="22" t="s">
        <v>47</v>
      </c>
      <c r="C22" s="30" t="s">
        <v>23</v>
      </c>
      <c r="D22" s="30" t="s">
        <v>23</v>
      </c>
      <c r="E22" s="22" t="s">
        <v>16</v>
      </c>
      <c r="F22" s="30" t="s">
        <v>114</v>
      </c>
      <c r="G22" s="23" t="s">
        <v>0</v>
      </c>
      <c r="H22" s="48" t="s">
        <v>73</v>
      </c>
      <c r="I22" s="24" t="s">
        <v>128</v>
      </c>
      <c r="J22" s="44" t="s">
        <v>117</v>
      </c>
      <c r="K22" s="36" t="s">
        <v>94</v>
      </c>
      <c r="M22" s="24" t="s">
        <v>75</v>
      </c>
      <c r="N22" s="24" t="s">
        <v>76</v>
      </c>
    </row>
    <row r="23" spans="1:14" x14ac:dyDescent="0.35">
      <c r="A23" s="1" t="s">
        <v>77</v>
      </c>
      <c r="B23" s="1" t="s">
        <v>87</v>
      </c>
      <c r="C23" s="1" t="s">
        <v>145</v>
      </c>
      <c r="D23" s="1">
        <v>1E-4</v>
      </c>
      <c r="E23" s="21" t="s">
        <v>6</v>
      </c>
      <c r="F23" s="14" t="s">
        <v>65</v>
      </c>
      <c r="G23" s="25">
        <f>'Inst Amp1 Calc'!$C$34</f>
        <v>1</v>
      </c>
      <c r="H23" s="28">
        <f t="shared" ref="H23:H25" si="0">D23*G23</f>
        <v>1E-4</v>
      </c>
      <c r="I23" s="10">
        <v>1</v>
      </c>
      <c r="J23" s="28">
        <f t="shared" ref="J23:J25" si="1">H23*1/I23</f>
        <v>1E-4</v>
      </c>
      <c r="K23" s="16">
        <f>J23/$B$9*1000000</f>
        <v>5000</v>
      </c>
      <c r="L23" s="2"/>
      <c r="M23" s="28">
        <f t="shared" ref="M23:M25" si="2">ABS(J23)</f>
        <v>1E-4</v>
      </c>
      <c r="N23" s="17">
        <f>J23^2</f>
        <v>1E-8</v>
      </c>
    </row>
    <row r="24" spans="1:14" x14ac:dyDescent="0.35">
      <c r="A24" s="1" t="s">
        <v>43</v>
      </c>
      <c r="B24" s="1" t="s">
        <v>87</v>
      </c>
      <c r="C24" s="1" t="s">
        <v>144</v>
      </c>
      <c r="D24" s="1">
        <v>5.0000000000000001E-4</v>
      </c>
      <c r="E24" s="21" t="s">
        <v>6</v>
      </c>
      <c r="F24" s="14" t="s">
        <v>113</v>
      </c>
      <c r="G24" s="25">
        <f>'Inst Amp1 Calc'!$C$41</f>
        <v>1</v>
      </c>
      <c r="H24" s="28">
        <f>D24*G24</f>
        <v>5.0000000000000001E-4</v>
      </c>
      <c r="I24" s="10">
        <f>'Inst Amp1 Calc'!$C$22</f>
        <v>89.495575221238937</v>
      </c>
      <c r="J24" s="28">
        <f>H24*1/I24</f>
        <v>5.5868683872243651E-6</v>
      </c>
      <c r="K24" s="16">
        <f>J24/$B$9*1000000</f>
        <v>279.34341936121825</v>
      </c>
      <c r="L24" s="2"/>
      <c r="M24" s="28">
        <f>ABS(J24)</f>
        <v>5.5868683872243651E-6</v>
      </c>
      <c r="N24" s="17">
        <f>J24^2</f>
        <v>3.1213098376166981E-11</v>
      </c>
    </row>
    <row r="25" spans="1:14" x14ac:dyDescent="0.35">
      <c r="A25" s="1" t="s">
        <v>43</v>
      </c>
      <c r="B25" s="1" t="s">
        <v>87</v>
      </c>
      <c r="C25" s="1" t="s">
        <v>146</v>
      </c>
      <c r="D25" s="17">
        <v>2.0000000000000001E-9</v>
      </c>
      <c r="E25" s="1" t="s">
        <v>14</v>
      </c>
      <c r="F25" s="14" t="s">
        <v>65</v>
      </c>
      <c r="G25" s="16">
        <f>'Inst Amp1 Calc'!$C$36</f>
        <v>175</v>
      </c>
      <c r="H25" s="28">
        <f t="shared" si="0"/>
        <v>3.5000000000000004E-7</v>
      </c>
      <c r="I25" s="10">
        <v>1</v>
      </c>
      <c r="J25" s="28">
        <f t="shared" si="1"/>
        <v>3.5000000000000004E-7</v>
      </c>
      <c r="K25" s="16">
        <f t="shared" ref="K25" si="3">J25/$B$9*1000000</f>
        <v>17.500000000000004</v>
      </c>
      <c r="L25" s="2"/>
      <c r="M25" s="28">
        <f t="shared" si="2"/>
        <v>3.5000000000000004E-7</v>
      </c>
      <c r="N25" s="17">
        <f t="shared" ref="N25" si="4">J25^2</f>
        <v>1.2250000000000003E-13</v>
      </c>
    </row>
    <row r="26" spans="1:14" x14ac:dyDescent="0.35">
      <c r="A26" s="1" t="s">
        <v>43</v>
      </c>
      <c r="B26" s="1" t="s">
        <v>87</v>
      </c>
      <c r="C26" s="1" t="s">
        <v>152</v>
      </c>
      <c r="D26" s="17">
        <f>10^(-105/20)</f>
        <v>5.6234132519034836E-6</v>
      </c>
      <c r="E26" s="1" t="s">
        <v>88</v>
      </c>
      <c r="F26" s="14" t="s">
        <v>65</v>
      </c>
      <c r="G26" s="10">
        <f>'Inst Amp1 Calc'!$C$38</f>
        <v>1</v>
      </c>
      <c r="H26" s="28">
        <f>D26*'Inst Amp1 Calc'!$C$27*G26</f>
        <v>1.405853312975871E-5</v>
      </c>
      <c r="I26" s="10">
        <v>1</v>
      </c>
      <c r="J26" s="28">
        <f>H26*1/I26</f>
        <v>1.405853312975871E-5</v>
      </c>
      <c r="K26" s="16">
        <f t="shared" ref="K26" si="5">J26/$B$9*1000000</f>
        <v>702.92665648793547</v>
      </c>
      <c r="L26" s="2"/>
      <c r="M26" s="28">
        <f>ABS(J26)</f>
        <v>1.405853312975871E-5</v>
      </c>
      <c r="N26" s="17">
        <f t="shared" ref="N26" si="6">J26^2</f>
        <v>1.9764235376052323E-10</v>
      </c>
    </row>
    <row r="27" spans="1:14" x14ac:dyDescent="0.35">
      <c r="C27" s="1" t="s">
        <v>29</v>
      </c>
      <c r="E27" s="1"/>
      <c r="F27" s="14"/>
      <c r="G27" s="16"/>
      <c r="H27" s="18"/>
      <c r="I27" s="10"/>
      <c r="J27" s="28"/>
      <c r="K27" s="16"/>
    </row>
    <row r="28" spans="1:14" x14ac:dyDescent="0.35">
      <c r="F28" s="1"/>
      <c r="H28" s="1"/>
      <c r="I28" s="10"/>
      <c r="J28" s="38"/>
      <c r="K28" s="33" t="s">
        <v>118</v>
      </c>
      <c r="L28" s="2"/>
      <c r="M28" s="37" t="s">
        <v>131</v>
      </c>
      <c r="N28" s="33" t="s">
        <v>132</v>
      </c>
    </row>
    <row r="29" spans="1:14" x14ac:dyDescent="0.35">
      <c r="F29" s="1"/>
      <c r="H29" s="1"/>
      <c r="I29" s="1"/>
      <c r="J29" s="39"/>
      <c r="K29" s="16">
        <f>M29/$B$9*1000000</f>
        <v>5999.7700758491528</v>
      </c>
      <c r="L29" s="39" t="s">
        <v>6</v>
      </c>
      <c r="M29" s="28">
        <f>SUM(M23:M27)</f>
        <v>1.1999540151698307E-4</v>
      </c>
      <c r="N29" s="28">
        <f t="array" ref="N29">SQRT(SUM(N23:N27))</f>
        <v>1.0113840987546073E-4</v>
      </c>
    </row>
    <row r="30" spans="1:14" x14ac:dyDescent="0.35">
      <c r="F30" s="1"/>
      <c r="H30" s="1"/>
      <c r="I30" s="1"/>
      <c r="L30" s="39"/>
      <c r="M30" s="16"/>
      <c r="N30" s="16"/>
    </row>
    <row r="31" spans="1:14" x14ac:dyDescent="0.35">
      <c r="F31" s="1"/>
      <c r="H31" s="1"/>
      <c r="I31" s="1"/>
      <c r="J31" s="20"/>
      <c r="K31" s="20"/>
      <c r="L31" s="26"/>
    </row>
    <row r="32" spans="1:14" ht="29" x14ac:dyDescent="0.35">
      <c r="A32" s="7" t="s">
        <v>111</v>
      </c>
      <c r="B32" s="7"/>
      <c r="C32" s="36" t="s">
        <v>57</v>
      </c>
      <c r="D32" s="36" t="s">
        <v>58</v>
      </c>
      <c r="F32" s="36" t="s">
        <v>112</v>
      </c>
      <c r="G32" s="36" t="s">
        <v>56</v>
      </c>
      <c r="H32" s="36" t="s">
        <v>129</v>
      </c>
      <c r="I32" s="36" t="s">
        <v>127</v>
      </c>
      <c r="J32" s="37" t="s">
        <v>84</v>
      </c>
      <c r="K32" s="36"/>
      <c r="L32" s="26"/>
      <c r="M32" s="1" t="s">
        <v>59</v>
      </c>
      <c r="N32" s="31" t="s">
        <v>60</v>
      </c>
    </row>
    <row r="33" spans="1:14" ht="29" x14ac:dyDescent="0.35">
      <c r="A33" s="22" t="s">
        <v>44</v>
      </c>
      <c r="B33" s="22" t="s">
        <v>47</v>
      </c>
      <c r="C33" s="30" t="s">
        <v>23</v>
      </c>
      <c r="D33" s="30" t="s">
        <v>23</v>
      </c>
      <c r="E33" s="22" t="s">
        <v>16</v>
      </c>
      <c r="F33" s="30" t="s">
        <v>114</v>
      </c>
      <c r="G33" s="23" t="s">
        <v>0</v>
      </c>
      <c r="H33" s="48" t="s">
        <v>74</v>
      </c>
      <c r="I33" s="24" t="s">
        <v>128</v>
      </c>
      <c r="J33" s="44" t="s">
        <v>117</v>
      </c>
      <c r="K33" s="36" t="s">
        <v>94</v>
      </c>
      <c r="L33" s="34"/>
      <c r="M33" s="24" t="s">
        <v>75</v>
      </c>
      <c r="N33" s="24" t="s">
        <v>76</v>
      </c>
    </row>
    <row r="34" spans="1:14" x14ac:dyDescent="0.35">
      <c r="A34" s="1" t="s">
        <v>77</v>
      </c>
      <c r="B34" s="1" t="s">
        <v>87</v>
      </c>
      <c r="C34" s="1" t="s">
        <v>147</v>
      </c>
      <c r="D34" s="27">
        <v>9.9999999999999995E-7</v>
      </c>
      <c r="E34" s="21" t="s">
        <v>19</v>
      </c>
      <c r="F34" s="14" t="s">
        <v>65</v>
      </c>
      <c r="G34" s="25">
        <f>'Inst Amp1 Calc'!$C$34</f>
        <v>1</v>
      </c>
      <c r="H34" s="28">
        <f>D34*$C$9*G34</f>
        <v>5.9999999999999995E-5</v>
      </c>
      <c r="I34" s="10">
        <v>1</v>
      </c>
      <c r="J34" s="28">
        <f t="shared" ref="J34:J38" si="7">H34*1/I34</f>
        <v>5.9999999999999995E-5</v>
      </c>
      <c r="K34" s="16">
        <f>J34/$B$9*1000000</f>
        <v>2999.9999999999995</v>
      </c>
      <c r="L34" s="2"/>
      <c r="M34" s="28">
        <f t="shared" ref="M34:M38" si="8">ABS(J34)</f>
        <v>5.9999999999999995E-5</v>
      </c>
      <c r="N34" s="17">
        <f>J34^2</f>
        <v>3.5999999999999996E-9</v>
      </c>
    </row>
    <row r="35" spans="1:14" x14ac:dyDescent="0.35">
      <c r="A35" s="1" t="s">
        <v>43</v>
      </c>
      <c r="B35" s="1" t="s">
        <v>87</v>
      </c>
      <c r="C35" s="1" t="s">
        <v>148</v>
      </c>
      <c r="D35" s="27">
        <v>1.0000000000000001E-5</v>
      </c>
      <c r="E35" s="21" t="s">
        <v>19</v>
      </c>
      <c r="F35" s="14" t="s">
        <v>113</v>
      </c>
      <c r="G35" s="25">
        <f>'Inst Amp1 Calc'!$C$41</f>
        <v>1</v>
      </c>
      <c r="H35" s="14">
        <f>D35*$C$9*G35</f>
        <v>6.0000000000000006E-4</v>
      </c>
      <c r="I35" s="10">
        <f>'Inst Amp1 Calc'!$C$22</f>
        <v>89.495575221238937</v>
      </c>
      <c r="J35" s="28">
        <f>H35*1/I35</f>
        <v>6.7042420646692384E-6</v>
      </c>
      <c r="K35" s="16">
        <f>J35/$B$9*1000000</f>
        <v>335.2121032334619</v>
      </c>
      <c r="L35" s="2"/>
      <c r="M35" s="28">
        <f>ABS(J35)</f>
        <v>6.7042420646692384E-6</v>
      </c>
      <c r="N35" s="17">
        <f>J35^2</f>
        <v>4.4946861661680456E-11</v>
      </c>
    </row>
    <row r="36" spans="1:14" x14ac:dyDescent="0.35">
      <c r="A36" s="1" t="s">
        <v>43</v>
      </c>
      <c r="B36" s="1" t="s">
        <v>87</v>
      </c>
      <c r="C36" s="1" t="s">
        <v>149</v>
      </c>
      <c r="D36" s="17">
        <v>4.9999999999999997E-12</v>
      </c>
      <c r="E36" s="1" t="s">
        <v>20</v>
      </c>
      <c r="F36" s="14" t="s">
        <v>65</v>
      </c>
      <c r="G36" s="16">
        <f>'Inst Amp1 Calc'!$C$36</f>
        <v>175</v>
      </c>
      <c r="H36" s="45">
        <f>D36*$C$9*G36</f>
        <v>5.25E-8</v>
      </c>
      <c r="I36" s="10">
        <v>1</v>
      </c>
      <c r="J36" s="28">
        <f t="shared" si="7"/>
        <v>5.25E-8</v>
      </c>
      <c r="K36" s="10">
        <f t="shared" ref="K36" si="9">J36/$B$9*1000000</f>
        <v>2.625</v>
      </c>
      <c r="L36" s="2"/>
      <c r="M36" s="28">
        <f t="shared" si="8"/>
        <v>5.25E-8</v>
      </c>
      <c r="N36" s="17">
        <f t="shared" ref="N36" si="10">J36^2</f>
        <v>2.7562500000000002E-15</v>
      </c>
    </row>
    <row r="37" spans="1:14" x14ac:dyDescent="0.35">
      <c r="A37" s="1" t="s">
        <v>43</v>
      </c>
      <c r="B37" s="1" t="s">
        <v>87</v>
      </c>
      <c r="C37" s="1" t="s">
        <v>150</v>
      </c>
      <c r="D37" s="17">
        <f>0.0000015/2</f>
        <v>7.5000000000000002E-7</v>
      </c>
      <c r="E37" s="21" t="s">
        <v>97</v>
      </c>
      <c r="F37" s="14" t="s">
        <v>65</v>
      </c>
      <c r="G37" s="25">
        <f>'Inst Amp1 Calc'!$C$34</f>
        <v>1</v>
      </c>
      <c r="H37" s="28">
        <f>D37*G37</f>
        <v>7.5000000000000002E-7</v>
      </c>
      <c r="I37" s="10">
        <v>1</v>
      </c>
      <c r="J37" s="28">
        <f t="shared" si="7"/>
        <v>7.5000000000000002E-7</v>
      </c>
      <c r="K37" s="10">
        <f>J37/$B$9*1000000</f>
        <v>37.5</v>
      </c>
      <c r="L37" s="2"/>
      <c r="M37" s="28">
        <f t="shared" si="8"/>
        <v>7.5000000000000002E-7</v>
      </c>
      <c r="N37" s="17">
        <f>J37^2</f>
        <v>5.6250000000000008E-13</v>
      </c>
    </row>
    <row r="38" spans="1:14" x14ac:dyDescent="0.35">
      <c r="A38" s="1" t="s">
        <v>43</v>
      </c>
      <c r="B38" s="1" t="s">
        <v>87</v>
      </c>
      <c r="C38" s="1" t="s">
        <v>151</v>
      </c>
      <c r="D38" s="17">
        <f>50*0.000001*4</f>
        <v>1.9999999999999998E-4</v>
      </c>
      <c r="E38" s="21" t="s">
        <v>6</v>
      </c>
      <c r="F38" s="14" t="s">
        <v>113</v>
      </c>
      <c r="G38" s="25">
        <f>'Inst Amp1 Calc'!$C$43</f>
        <v>1</v>
      </c>
      <c r="H38" s="28">
        <f>D38*G38</f>
        <v>1.9999999999999998E-4</v>
      </c>
      <c r="I38" s="10">
        <f>'Inst Amp1 Calc'!$C$22</f>
        <v>89.495575221238937</v>
      </c>
      <c r="J38" s="28">
        <f t="shared" si="7"/>
        <v>2.2347473548897459E-6</v>
      </c>
      <c r="K38" s="16">
        <f>J38/$B$9*1000000</f>
        <v>111.73736774448729</v>
      </c>
      <c r="L38" s="2"/>
      <c r="M38" s="28">
        <f t="shared" si="8"/>
        <v>2.2347473548897459E-6</v>
      </c>
      <c r="N38" s="17">
        <f>J38^2</f>
        <v>4.9940957401867156E-12</v>
      </c>
    </row>
    <row r="39" spans="1:14" x14ac:dyDescent="0.35">
      <c r="C39" s="1" t="s">
        <v>29</v>
      </c>
      <c r="K39" s="16"/>
    </row>
    <row r="40" spans="1:14" x14ac:dyDescent="0.35">
      <c r="F40" s="1"/>
      <c r="G40" s="1"/>
      <c r="H40" s="1"/>
      <c r="I40" s="29"/>
      <c r="J40" s="38"/>
      <c r="K40" s="33" t="s">
        <v>118</v>
      </c>
      <c r="M40" s="37" t="s">
        <v>131</v>
      </c>
      <c r="N40" s="33" t="s">
        <v>132</v>
      </c>
    </row>
    <row r="41" spans="1:14" x14ac:dyDescent="0.35">
      <c r="F41" s="1"/>
      <c r="G41" s="1"/>
      <c r="H41" s="1"/>
      <c r="I41" s="29"/>
      <c r="J41" s="2"/>
      <c r="K41" s="16">
        <f>M41/$B$9*1000000</f>
        <v>3487.0744709779492</v>
      </c>
      <c r="L41" s="39" t="s">
        <v>6</v>
      </c>
      <c r="M41" s="28">
        <f>SUM(M34:M39)</f>
        <v>6.9741489419558979E-5</v>
      </c>
      <c r="N41" s="28">
        <f t="array" ref="N41">SQRT(SUM(N34:N39))</f>
        <v>6.0419419176717234E-5</v>
      </c>
    </row>
    <row r="42" spans="1:14" x14ac:dyDescent="0.35">
      <c r="F42" s="1"/>
      <c r="G42" s="1"/>
      <c r="H42" s="1"/>
      <c r="I42" s="29"/>
      <c r="J42" s="39"/>
      <c r="K42" s="16"/>
      <c r="L42" s="39"/>
      <c r="N42" s="16"/>
    </row>
    <row r="45" spans="1:14" x14ac:dyDescent="0.35">
      <c r="K45" s="16"/>
    </row>
  </sheetData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N45"/>
  <sheetViews>
    <sheetView zoomScale="85" zoomScaleNormal="85" workbookViewId="0"/>
  </sheetViews>
  <sheetFormatPr defaultRowHeight="14.5" x14ac:dyDescent="0.35"/>
  <cols>
    <col min="1" max="1" width="14.6328125" customWidth="1"/>
    <col min="2" max="2" width="23.54296875" customWidth="1"/>
    <col min="3" max="3" width="12.453125" customWidth="1"/>
    <col min="4" max="4" width="10.81640625" customWidth="1"/>
    <col min="5" max="5" width="11.1796875" customWidth="1"/>
    <col min="6" max="6" width="12.1796875" customWidth="1"/>
    <col min="7" max="7" width="12.6328125" customWidth="1"/>
    <col min="8" max="8" width="14.90625" customWidth="1"/>
    <col min="9" max="9" width="8.26953125" customWidth="1"/>
    <col min="11" max="11" width="10.81640625" customWidth="1"/>
    <col min="12" max="12" width="12.6328125" customWidth="1"/>
    <col min="13" max="13" width="11.36328125" customWidth="1"/>
  </cols>
  <sheetData>
    <row r="1" spans="1:13" ht="21" x14ac:dyDescent="0.5">
      <c r="A1" s="40" t="s">
        <v>156</v>
      </c>
      <c r="F1" s="1"/>
      <c r="G1" s="1"/>
      <c r="H1" s="1"/>
    </row>
    <row r="2" spans="1:13" x14ac:dyDescent="0.35">
      <c r="E2" s="3"/>
      <c r="F2" s="2" t="s">
        <v>21</v>
      </c>
      <c r="G2" s="2"/>
      <c r="H2" s="2"/>
    </row>
    <row r="3" spans="1:13" x14ac:dyDescent="0.35">
      <c r="E3" s="4"/>
      <c r="F3" s="2" t="s">
        <v>22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53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30</v>
      </c>
      <c r="G7" s="1"/>
      <c r="H7" s="1"/>
      <c r="I7" s="1"/>
      <c r="J7" s="1"/>
    </row>
    <row r="8" spans="1:13" x14ac:dyDescent="0.35">
      <c r="C8" s="46" t="s">
        <v>67</v>
      </c>
      <c r="G8" s="1"/>
      <c r="H8" s="1"/>
      <c r="I8" s="1"/>
      <c r="J8" s="1"/>
    </row>
    <row r="9" spans="1:13" x14ac:dyDescent="0.35">
      <c r="C9" s="10">
        <v>60</v>
      </c>
    </row>
    <row r="10" spans="1:13" x14ac:dyDescent="0.35">
      <c r="C10" s="10"/>
      <c r="D10" s="19"/>
    </row>
    <row r="11" spans="1:13" x14ac:dyDescent="0.35">
      <c r="B11" s="31" t="s">
        <v>133</v>
      </c>
      <c r="C11" t="s">
        <v>33</v>
      </c>
      <c r="D11" s="10"/>
      <c r="E11" s="10"/>
      <c r="F11" s="1" t="s">
        <v>126</v>
      </c>
    </row>
    <row r="12" spans="1:13" x14ac:dyDescent="0.35">
      <c r="A12" s="7" t="s">
        <v>26</v>
      </c>
      <c r="B12" s="3" t="s">
        <v>39</v>
      </c>
      <c r="C12" s="4" t="s">
        <v>27</v>
      </c>
      <c r="D12" s="4" t="s">
        <v>37</v>
      </c>
      <c r="E12" s="47" t="s">
        <v>28</v>
      </c>
      <c r="F12" s="4" t="s">
        <v>32</v>
      </c>
      <c r="G12" s="42" t="s">
        <v>34</v>
      </c>
    </row>
    <row r="13" spans="1:13" x14ac:dyDescent="0.35">
      <c r="B13" s="25">
        <v>1</v>
      </c>
      <c r="C13" s="25">
        <f>L27</f>
        <v>0.44399278254731483</v>
      </c>
      <c r="D13" s="25">
        <f>L36</f>
        <v>0.35539003321868878</v>
      </c>
      <c r="E13" s="25">
        <f>C13+D13</f>
        <v>0.79938281576600367</v>
      </c>
      <c r="F13" s="16">
        <f>(B13-E13)/B13*100</f>
        <v>20.061718423399633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  <c r="E16" s="16">
        <f>E13/100*1000000</f>
        <v>7993.8281576600375</v>
      </c>
      <c r="F16" t="s">
        <v>94</v>
      </c>
    </row>
    <row r="17" spans="1:14" x14ac:dyDescent="0.35">
      <c r="E17" s="49"/>
      <c r="F17" s="1"/>
      <c r="G17" s="1"/>
      <c r="H17" s="1"/>
      <c r="I17" s="29"/>
      <c r="J17" s="26"/>
    </row>
    <row r="18" spans="1:14" x14ac:dyDescent="0.35">
      <c r="E18" s="49"/>
    </row>
    <row r="19" spans="1:14" x14ac:dyDescent="0.35">
      <c r="A19" s="15" t="s">
        <v>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29" x14ac:dyDescent="0.35">
      <c r="A21" s="7" t="s">
        <v>17</v>
      </c>
      <c r="B21" s="7"/>
      <c r="C21" s="36" t="s">
        <v>57</v>
      </c>
      <c r="D21" s="36" t="s">
        <v>58</v>
      </c>
      <c r="F21" s="36" t="s">
        <v>112</v>
      </c>
      <c r="G21" s="36" t="s">
        <v>40</v>
      </c>
      <c r="H21" s="36" t="s">
        <v>129</v>
      </c>
      <c r="I21" s="36"/>
      <c r="L21" t="s">
        <v>130</v>
      </c>
    </row>
    <row r="22" spans="1:14" ht="29" x14ac:dyDescent="0.35">
      <c r="A22" s="22" t="s">
        <v>42</v>
      </c>
      <c r="B22" s="22" t="s">
        <v>47</v>
      </c>
      <c r="C22" s="30" t="s">
        <v>23</v>
      </c>
      <c r="D22" s="30" t="s">
        <v>23</v>
      </c>
      <c r="E22" s="22" t="s">
        <v>16</v>
      </c>
      <c r="F22" s="30" t="s">
        <v>114</v>
      </c>
      <c r="G22" s="23" t="s">
        <v>0</v>
      </c>
      <c r="H22" s="48" t="s">
        <v>72</v>
      </c>
      <c r="I22" s="36" t="s">
        <v>94</v>
      </c>
      <c r="J22" s="34"/>
      <c r="K22" s="34"/>
      <c r="L22" s="24" t="s">
        <v>61</v>
      </c>
      <c r="M22" s="24" t="s">
        <v>62</v>
      </c>
    </row>
    <row r="23" spans="1:14" x14ac:dyDescent="0.35">
      <c r="A23" s="1" t="s">
        <v>77</v>
      </c>
      <c r="B23" s="2" t="s">
        <v>108</v>
      </c>
      <c r="C23" s="1" t="s">
        <v>85</v>
      </c>
      <c r="D23" s="1">
        <v>0.35</v>
      </c>
      <c r="E23" s="21" t="s">
        <v>10</v>
      </c>
      <c r="F23" s="14" t="s">
        <v>113</v>
      </c>
      <c r="G23" s="6">
        <f>'Inst Amp1 Calc'!$C$55</f>
        <v>0.98882626322555378</v>
      </c>
      <c r="H23" s="6">
        <f>D23*G23</f>
        <v>0.34608919212894379</v>
      </c>
      <c r="I23" s="16">
        <f>H23/100*1000000</f>
        <v>3460.891921289438</v>
      </c>
      <c r="K23" s="2"/>
      <c r="L23" s="6">
        <f>ABS(H23)</f>
        <v>0.34608919212894379</v>
      </c>
      <c r="M23" s="17">
        <f>H23^2</f>
        <v>0.11977772890846497</v>
      </c>
      <c r="N23" s="2" t="s">
        <v>10</v>
      </c>
    </row>
    <row r="24" spans="1:14" x14ac:dyDescent="0.35">
      <c r="A24" s="1" t="s">
        <v>43</v>
      </c>
      <c r="B24" s="2" t="s">
        <v>109</v>
      </c>
      <c r="C24" s="1" t="s">
        <v>86</v>
      </c>
      <c r="D24" s="1">
        <v>0.1</v>
      </c>
      <c r="E24" s="21" t="s">
        <v>10</v>
      </c>
      <c r="F24" s="14" t="s">
        <v>113</v>
      </c>
      <c r="G24" s="6">
        <f>'Inst Amp1 Calc'!$C$59</f>
        <v>-0.97903590418371045</v>
      </c>
      <c r="H24" s="6">
        <f>D24*G24</f>
        <v>-9.7903590418371045E-2</v>
      </c>
      <c r="I24" s="16">
        <f>H24/100*1000000</f>
        <v>-979.03590418371039</v>
      </c>
      <c r="K24" s="2"/>
      <c r="L24" s="6">
        <f>ABS(H24)</f>
        <v>9.7903590418371045E-2</v>
      </c>
      <c r="M24" s="17">
        <f>H24^2</f>
        <v>9.5851130168081548E-3</v>
      </c>
      <c r="N24" s="2" t="s">
        <v>10</v>
      </c>
    </row>
    <row r="25" spans="1:14" x14ac:dyDescent="0.35">
      <c r="B25" s="1"/>
      <c r="C25" s="1" t="s">
        <v>29</v>
      </c>
    </row>
    <row r="26" spans="1:14" x14ac:dyDescent="0.35">
      <c r="F26" s="1"/>
      <c r="I26" s="33" t="s">
        <v>118</v>
      </c>
      <c r="L26" s="37" t="s">
        <v>131</v>
      </c>
      <c r="M26" s="33" t="s">
        <v>132</v>
      </c>
    </row>
    <row r="27" spans="1:14" x14ac:dyDescent="0.35">
      <c r="F27" s="1"/>
      <c r="I27" s="16">
        <f>L27/100*1000000</f>
        <v>4439.927825473148</v>
      </c>
      <c r="L27" s="6">
        <f>SUM(L23:L25)</f>
        <v>0.44399278254731483</v>
      </c>
      <c r="M27" s="6">
        <f t="array" ref="M27">SQRT(SUM(M23:M25))</f>
        <v>0.35967046295918309</v>
      </c>
    </row>
    <row r="28" spans="1:14" x14ac:dyDescent="0.35">
      <c r="K28" s="39"/>
      <c r="M28" s="16"/>
    </row>
    <row r="30" spans="1:14" ht="29" x14ac:dyDescent="0.35">
      <c r="A30" s="7" t="s">
        <v>110</v>
      </c>
      <c r="B30" s="7"/>
      <c r="F30" s="36" t="s">
        <v>112</v>
      </c>
      <c r="G30" s="36" t="s">
        <v>40</v>
      </c>
      <c r="H30" s="36" t="s">
        <v>129</v>
      </c>
      <c r="I30" s="36"/>
      <c r="L30" t="s">
        <v>130</v>
      </c>
    </row>
    <row r="31" spans="1:14" ht="29" x14ac:dyDescent="0.35">
      <c r="A31" s="22" t="s">
        <v>42</v>
      </c>
      <c r="B31" s="22" t="s">
        <v>47</v>
      </c>
      <c r="C31" s="22" t="s">
        <v>15</v>
      </c>
      <c r="D31" s="22" t="s">
        <v>23</v>
      </c>
      <c r="E31" s="22" t="s">
        <v>16</v>
      </c>
      <c r="F31" s="30" t="s">
        <v>114</v>
      </c>
      <c r="G31" s="23" t="s">
        <v>0</v>
      </c>
      <c r="H31" s="48" t="s">
        <v>68</v>
      </c>
      <c r="I31" s="36" t="s">
        <v>94</v>
      </c>
      <c r="J31" s="34"/>
      <c r="K31" s="34"/>
      <c r="L31" s="24" t="s">
        <v>61</v>
      </c>
      <c r="M31" s="24" t="s">
        <v>62</v>
      </c>
    </row>
    <row r="32" spans="1:14" x14ac:dyDescent="0.35">
      <c r="A32" s="1" t="s">
        <v>41</v>
      </c>
      <c r="B32" s="2" t="s">
        <v>108</v>
      </c>
      <c r="C32" s="1" t="s">
        <v>95</v>
      </c>
      <c r="D32" s="1">
        <v>50</v>
      </c>
      <c r="E32" s="21" t="s">
        <v>18</v>
      </c>
      <c r="F32" s="14" t="s">
        <v>113</v>
      </c>
      <c r="G32" s="6">
        <f>'Inst Amp1 Calc'!$C$55</f>
        <v>0.98882626322555378</v>
      </c>
      <c r="H32" s="6">
        <f>D32/1000000*$C$9*G32*100</f>
        <v>0.29664787896766615</v>
      </c>
      <c r="I32" s="16">
        <f>H32/100*1000000</f>
        <v>2966.4787896766616</v>
      </c>
      <c r="K32" s="2"/>
      <c r="L32" s="6">
        <f>ABS(H32)</f>
        <v>0.29664787896766615</v>
      </c>
      <c r="M32" s="17">
        <f>H32^2</f>
        <v>8.7999964096015099E-2</v>
      </c>
      <c r="N32" s="2" t="s">
        <v>10</v>
      </c>
    </row>
    <row r="33" spans="1:14" x14ac:dyDescent="0.35">
      <c r="A33" s="1" t="s">
        <v>43</v>
      </c>
      <c r="B33" s="2" t="s">
        <v>109</v>
      </c>
      <c r="C33" s="1" t="s">
        <v>96</v>
      </c>
      <c r="D33" s="1">
        <v>10</v>
      </c>
      <c r="E33" s="21" t="s">
        <v>18</v>
      </c>
      <c r="F33" s="14" t="s">
        <v>113</v>
      </c>
      <c r="G33" s="6">
        <f>'Inst Amp1 Calc'!$C$59</f>
        <v>-0.97903590418371045</v>
      </c>
      <c r="H33" s="6">
        <f>D33/1000000*$C$9*G33*100</f>
        <v>-5.8742154251022624E-2</v>
      </c>
      <c r="I33" s="16">
        <f>H33/100*1000000</f>
        <v>-587.42154251022623</v>
      </c>
      <c r="L33" s="6">
        <f>ABS(H33)</f>
        <v>5.8742154251022624E-2</v>
      </c>
      <c r="M33" s="17">
        <f>H33^2</f>
        <v>3.4506406860509353E-3</v>
      </c>
      <c r="N33" s="2" t="s">
        <v>10</v>
      </c>
    </row>
    <row r="34" spans="1:14" x14ac:dyDescent="0.35">
      <c r="B34" s="1"/>
      <c r="C34" s="1" t="s">
        <v>29</v>
      </c>
    </row>
    <row r="35" spans="1:14" x14ac:dyDescent="0.35">
      <c r="F35" s="1"/>
      <c r="G35" s="1"/>
      <c r="H35" s="1"/>
      <c r="I35" s="33" t="s">
        <v>118</v>
      </c>
      <c r="L35" s="37" t="s">
        <v>131</v>
      </c>
      <c r="M35" s="33" t="s">
        <v>132</v>
      </c>
    </row>
    <row r="36" spans="1:14" x14ac:dyDescent="0.35">
      <c r="F36" s="1"/>
      <c r="G36" s="1"/>
      <c r="H36" s="1"/>
      <c r="I36" s="16">
        <f>L36/100*1000000</f>
        <v>3553.9003321868877</v>
      </c>
      <c r="L36" s="6">
        <f>SUM(L32:L34)</f>
        <v>0.35539003321868878</v>
      </c>
      <c r="M36" s="6">
        <f t="array" ref="M36">SQRT(SUM(M32:M34))</f>
        <v>0.3024080104462612</v>
      </c>
    </row>
    <row r="37" spans="1:14" x14ac:dyDescent="0.35">
      <c r="K37" s="39"/>
      <c r="L37" s="16"/>
      <c r="M37" s="16"/>
    </row>
    <row r="38" spans="1:14" x14ac:dyDescent="0.35">
      <c r="I38" s="49"/>
    </row>
    <row r="40" spans="1:14" x14ac:dyDescent="0.35">
      <c r="K40" s="39"/>
      <c r="L40" s="16"/>
    </row>
    <row r="41" spans="1:14" x14ac:dyDescent="0.35">
      <c r="K41" s="39"/>
      <c r="L41" s="16"/>
    </row>
    <row r="42" spans="1:14" x14ac:dyDescent="0.35">
      <c r="K42" s="39"/>
      <c r="L42" s="16"/>
    </row>
    <row r="44" spans="1:14" x14ac:dyDescent="0.35">
      <c r="K44" s="39"/>
      <c r="L44" s="16"/>
    </row>
    <row r="45" spans="1:14" x14ac:dyDescent="0.35">
      <c r="K45" s="39"/>
      <c r="L45" s="16"/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 Amp1 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2025-03-03T15:56:14Z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