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ThisWorkbook" defaultThemeVersion="124226"/>
  <xr:revisionPtr revIDLastSave="0" documentId="13_ncr:1_{AE2C08A5-C082-4212-9A1F-5C3883003E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ff_Amp_Calc" sheetId="8" r:id="rId1"/>
    <sheet name="Offset Errors" sheetId="9" r:id="rId2"/>
    <sheet name="Gain Errors" sheetId="10" r:id="rId3"/>
  </sheets>
  <calcPr calcId="191029"/>
</workbook>
</file>

<file path=xl/calcChain.xml><?xml version="1.0" encoding="utf-8"?>
<calcChain xmlns="http://schemas.openxmlformats.org/spreadsheetml/2006/main">
  <c r="C18" i="8" l="1"/>
  <c r="C31" i="8"/>
  <c r="C50" i="8"/>
  <c r="C49" i="8"/>
  <c r="C46" i="8"/>
  <c r="C45" i="8"/>
  <c r="C42" i="8"/>
  <c r="C41" i="8"/>
  <c r="C38" i="8"/>
  <c r="C37" i="8"/>
  <c r="E26" i="9"/>
  <c r="C47" i="8" l="1"/>
  <c r="H29" i="9" s="1"/>
  <c r="I29" i="9" s="1"/>
  <c r="C51" i="8"/>
  <c r="C43" i="8"/>
  <c r="C39" i="8"/>
  <c r="H42" i="9" l="1"/>
  <c r="I42" i="9" s="1"/>
  <c r="H43" i="9"/>
  <c r="I43" i="9" s="1"/>
  <c r="H30" i="9"/>
  <c r="I30" i="9" s="1"/>
  <c r="H27" i="9"/>
  <c r="I27" i="9" s="1"/>
  <c r="H40" i="9"/>
  <c r="I40" i="9" s="1"/>
  <c r="H28" i="9"/>
  <c r="I28" i="9" s="1"/>
  <c r="H41" i="9"/>
  <c r="I41" i="9" s="1"/>
  <c r="C85" i="8"/>
  <c r="C84" i="8"/>
  <c r="C81" i="8"/>
  <c r="C80" i="8"/>
  <c r="C61" i="8"/>
  <c r="C60" i="8"/>
  <c r="C77" i="8"/>
  <c r="C76" i="8"/>
  <c r="C73" i="8"/>
  <c r="C72" i="8"/>
  <c r="C69" i="8"/>
  <c r="C68" i="8"/>
  <c r="C57" i="8"/>
  <c r="C56" i="8"/>
  <c r="C65" i="8"/>
  <c r="C64" i="8"/>
  <c r="C24" i="8"/>
  <c r="C35" i="8" s="1"/>
  <c r="C21" i="8"/>
  <c r="C20" i="8"/>
  <c r="C13" i="8"/>
  <c r="C14" i="8"/>
  <c r="J28" i="9" l="1"/>
  <c r="K28" i="9" s="1"/>
  <c r="M28" i="9" s="1"/>
  <c r="J30" i="9"/>
  <c r="K30" i="9" s="1"/>
  <c r="J29" i="9"/>
  <c r="K29" i="9" s="1"/>
  <c r="J40" i="9"/>
  <c r="K40" i="9" s="1"/>
  <c r="J43" i="9"/>
  <c r="K43" i="9" s="1"/>
  <c r="J41" i="9"/>
  <c r="K41" i="9" s="1"/>
  <c r="J42" i="9"/>
  <c r="K42" i="9" s="1"/>
  <c r="J26" i="9"/>
  <c r="J27" i="9"/>
  <c r="K27" i="9" s="1"/>
  <c r="C86" i="8"/>
  <c r="C62" i="8"/>
  <c r="C82" i="8"/>
  <c r="C78" i="8"/>
  <c r="C74" i="8"/>
  <c r="C70" i="8"/>
  <c r="C66" i="8"/>
  <c r="C33" i="8"/>
  <c r="C22" i="8"/>
  <c r="C58" i="8"/>
  <c r="H26" i="9"/>
  <c r="I26" i="9" s="1"/>
  <c r="J39" i="9"/>
  <c r="J38" i="9"/>
  <c r="J37" i="9"/>
  <c r="J25" i="9"/>
  <c r="J24" i="9"/>
  <c r="J23" i="9"/>
  <c r="N28" i="9" l="1"/>
  <c r="M41" i="9"/>
  <c r="N41" i="9"/>
  <c r="N40" i="9"/>
  <c r="M40" i="9"/>
  <c r="N42" i="9"/>
  <c r="M42" i="9"/>
  <c r="M43" i="9"/>
  <c r="N43" i="9"/>
  <c r="N29" i="9"/>
  <c r="M29" i="9"/>
  <c r="N30" i="9"/>
  <c r="M30" i="9"/>
  <c r="K26" i="9"/>
  <c r="N26" i="9" s="1"/>
  <c r="N27" i="9"/>
  <c r="M27" i="9"/>
  <c r="H24" i="10"/>
  <c r="I24" i="10" s="1"/>
  <c r="H35" i="10"/>
  <c r="H38" i="9"/>
  <c r="I38" i="9" s="1"/>
  <c r="K38" i="9" s="1"/>
  <c r="M38" i="9" s="1"/>
  <c r="H24" i="9"/>
  <c r="I24" i="9" s="1"/>
  <c r="K24" i="9" s="1"/>
  <c r="N24" i="9" s="1"/>
  <c r="H34" i="10"/>
  <c r="I34" i="10" s="1"/>
  <c r="H23" i="10"/>
  <c r="I23" i="10" s="1"/>
  <c r="H36" i="10"/>
  <c r="I36" i="10" s="1"/>
  <c r="H25" i="10"/>
  <c r="I25" i="10" s="1"/>
  <c r="H26" i="10"/>
  <c r="I26" i="10" s="1"/>
  <c r="H37" i="10"/>
  <c r="I37" i="10" s="1"/>
  <c r="H39" i="9"/>
  <c r="I39" i="9" s="1"/>
  <c r="K39" i="9" s="1"/>
  <c r="N39" i="9" s="1"/>
  <c r="H25" i="9"/>
  <c r="I25" i="9" s="1"/>
  <c r="K25" i="9" s="1"/>
  <c r="M25" i="9" s="1"/>
  <c r="H37" i="9"/>
  <c r="I37" i="9" s="1"/>
  <c r="K37" i="9" s="1"/>
  <c r="M37" i="9" s="1"/>
  <c r="H23" i="9"/>
  <c r="I23" i="9" s="1"/>
  <c r="K23" i="9" s="1"/>
  <c r="I35" i="10"/>
  <c r="M26" i="9" l="1"/>
  <c r="N25" i="10"/>
  <c r="M25" i="10"/>
  <c r="N26" i="10"/>
  <c r="M26" i="10"/>
  <c r="N37" i="10"/>
  <c r="M37" i="10"/>
  <c r="N23" i="10"/>
  <c r="M23" i="10"/>
  <c r="N24" i="10"/>
  <c r="M24" i="10"/>
  <c r="N36" i="10"/>
  <c r="M36" i="10"/>
  <c r="M24" i="9"/>
  <c r="M39" i="9"/>
  <c r="M46" i="9" s="1"/>
  <c r="N25" i="9"/>
  <c r="N38" i="9"/>
  <c r="N37" i="9"/>
  <c r="N35" i="10"/>
  <c r="M35" i="10"/>
  <c r="N34" i="10"/>
  <c r="M34" i="10"/>
  <c r="N23" i="9"/>
  <c r="M23" i="9"/>
  <c r="M40" i="10" l="1"/>
  <c r="N33" i="9"/>
  <c r="C13" i="9" s="1"/>
  <c r="N40" i="10"/>
  <c r="D13" i="10" s="1"/>
  <c r="M29" i="10"/>
  <c r="N29" i="10"/>
  <c r="C13" i="10" s="1"/>
  <c r="N46" i="9"/>
  <c r="D13" i="9" s="1"/>
  <c r="M33" i="9"/>
  <c r="E13" i="9" l="1"/>
  <c r="F13" i="9" s="1"/>
  <c r="G13" i="9" s="1"/>
  <c r="E13" i="10"/>
  <c r="F13" i="10" s="1"/>
  <c r="G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691D1871-1F82-4276-9845-1FA088C4CDC9}">
      <text>
        <r>
          <rPr>
            <sz val="9"/>
            <color indexed="81"/>
            <rFont val="Tahoma"/>
            <family val="2"/>
          </rPr>
          <t>Get the total error from Root Sum Square (RSS).
Change to Worst Case Analysis (WCA) total error if desired.</t>
        </r>
      </text>
    </comment>
    <comment ref="D12" authorId="0" shapeId="0" xr:uid="{4C5A5BC6-32A7-41A4-BB4C-A13777A2E6E9}">
      <text>
        <r>
          <rPr>
            <sz val="9"/>
            <color indexed="81"/>
            <rFont val="Tahoma"/>
            <family val="2"/>
          </rPr>
          <t>Get the total error from Root Sum Square (RSS).
Change to Worst Case Analysis (WCA) total error if desired.</t>
        </r>
      </text>
    </comment>
    <comment ref="E12" authorId="0" shapeId="0" xr:uid="{077951D3-DA81-4757-A96F-FBDA206CC982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5E13861B-30A8-40BF-975C-DD794D7C25A7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6" authorId="0" shapeId="0" xr:uid="{F9ED46E1-0FB2-4BF4-8C22-D27AF6CC5E61}">
      <text>
        <r>
          <rPr>
            <sz val="9"/>
            <color indexed="81"/>
            <rFont val="Tahoma"/>
            <family val="2"/>
          </rPr>
          <t xml:space="preserve">Get ratio from CMRR dB spec.
Calc vcmr at input.
Ex: Vcmr = Vcm / 10^(CMRR/20)
             = 5V / 10^(80/20)
             = 0.0005 </t>
        </r>
      </text>
    </comment>
    <comment ref="B31" authorId="0" shapeId="0" xr:uid="{FDA141CA-7C9A-47A9-B708-756220B7762C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2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2" authorId="0" shapeId="0" xr:uid="{0937F596-6C20-4E17-80BC-37AB6587A84A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6" authorId="0" shapeId="0" xr:uid="{855B6C22-6A02-4CE8-A98F-A6CF28B79D56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44" authorId="0" shapeId="0" xr:uid="{415A7836-A341-49AB-8FB0-44E233F13380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45" authorId="0" shapeId="0" xr:uid="{C118B55B-46E3-4FDB-8352-69F91AB85960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45" authorId="0" shapeId="0" xr:uid="{851F4CB6-CA40-437F-B33A-9A518F6EECC1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8E9AF447-273C-48B2-A578-FE4B97521DE5}">
      <text>
        <r>
          <rPr>
            <sz val="9"/>
            <color indexed="81"/>
            <rFont val="Tahoma"/>
            <family val="2"/>
          </rPr>
          <t>Get the total error from Root Sum Square (RSS).
Change to Worst Case Analysis (WCA) total error if desired.</t>
        </r>
      </text>
    </comment>
    <comment ref="D12" authorId="0" shapeId="0" xr:uid="{F9429F5A-92A6-4B39-8ABE-8AB1AE384DAD}">
      <text>
        <r>
          <rPr>
            <sz val="9"/>
            <color indexed="81"/>
            <rFont val="Tahoma"/>
            <family val="2"/>
          </rPr>
          <t>Get the total error from Root Sum Square (RSS).
Change to Worst Case Analysis (WCA) total error if desired.</t>
        </r>
      </text>
    </comment>
    <comment ref="E12" authorId="0" shapeId="0" xr:uid="{A629066E-F419-4AFA-A3E6-0C18A5ABC541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009131A0-1EDD-466B-AC0D-C1F4BE0CCA4D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27" authorId="0" shapeId="0" xr:uid="{5481FCF4-3034-4662-AE84-1619799D29D8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8" authorId="0" shapeId="0" xr:uid="{AFD59C58-3DC9-4C79-AF7C-5FF2556C95D5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8" authorId="0" shapeId="0" xr:uid="{550058DE-3C11-4465-A9FE-1936E15137D6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3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38" authorId="0" shapeId="0" xr:uid="{85240522-A816-463F-94D8-A484CC2D98B4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9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9" authorId="0" shapeId="0" xr:uid="{CDE5169F-1C80-4D2E-B781-F010B17C6E22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sharedStrings.xml><?xml version="1.0" encoding="utf-8"?>
<sst xmlns="http://schemas.openxmlformats.org/spreadsheetml/2006/main" count="432" uniqueCount="181">
  <si>
    <t>S</t>
  </si>
  <si>
    <t>R1</t>
  </si>
  <si>
    <t>R2</t>
  </si>
  <si>
    <t>K</t>
  </si>
  <si>
    <t>K'</t>
  </si>
  <si>
    <t>V</t>
  </si>
  <si>
    <t>OFFSET ERRORS</t>
  </si>
  <si>
    <t>GAIN ERRORS</t>
  </si>
  <si>
    <t>%</t>
  </si>
  <si>
    <t>ohms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</si>
  <si>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</si>
  <si>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</si>
  <si>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A</t>
  </si>
  <si>
    <t>unit</t>
  </si>
  <si>
    <t>Initial Errors</t>
  </si>
  <si>
    <t>ppm/C</t>
  </si>
  <si>
    <t>V/C</t>
  </si>
  <si>
    <t>A/C</t>
  </si>
  <si>
    <t>Enter values</t>
  </si>
  <si>
    <t>Calc results</t>
  </si>
  <si>
    <t>e</t>
  </si>
  <si>
    <t>Offset Error</t>
  </si>
  <si>
    <t>Gain Error</t>
  </si>
  <si>
    <t>Initial Error</t>
  </si>
  <si>
    <t>Total Error</t>
  </si>
  <si>
    <t>end</t>
  </si>
  <si>
    <t>Temp Change</t>
  </si>
  <si>
    <t>Margin %</t>
  </si>
  <si>
    <t xml:space="preserve">   Error Budget Analysis</t>
  </si>
  <si>
    <t>P/F ?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</si>
  <si>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</si>
  <si>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</si>
  <si>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Temp Drift</t>
  </si>
  <si>
    <t>Gain Sensitivity</t>
  </si>
  <si>
    <t>Amp 1</t>
  </si>
  <si>
    <t>Block</t>
  </si>
  <si>
    <t>"</t>
  </si>
  <si>
    <t>Circuit Block</t>
  </si>
  <si>
    <t xml:space="preserve">((K'-K)/K) / 0.01 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</si>
  <si>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</si>
  <si>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</si>
  <si>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</si>
  <si>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</si>
  <si>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</si>
  <si>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</si>
  <si>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</si>
  <si>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(ΔK/K)^2</t>
  </si>
  <si>
    <t>S   (How does each error source contribute to a signal Gain error)</t>
  </si>
  <si>
    <t>Offset Error RTI</t>
  </si>
  <si>
    <t>Components</t>
  </si>
  <si>
    <t>Name</t>
  </si>
  <si>
    <t>abs(ΔVoffset_rti)</t>
  </si>
  <si>
    <t>Δvoffset_rti^2</t>
  </si>
  <si>
    <t>Drift Errors</t>
  </si>
  <si>
    <t>U1 voff</t>
  </si>
  <si>
    <t xml:space="preserve">                 Similarly, a 0.1% change in R causes a 0.05% change in the K.</t>
  </si>
  <si>
    <t xml:space="preserve">   Error Budget Results</t>
  </si>
  <si>
    <t>Spec Error (V)</t>
  </si>
  <si>
    <t>Spec Error (%)</t>
  </si>
  <si>
    <t>WCA Total</t>
  </si>
  <si>
    <t>RSS Total</t>
  </si>
  <si>
    <t xml:space="preserve">K' is the gain with a 1% tol to calc S. </t>
  </si>
  <si>
    <t>Circuit, Gains, Levels</t>
  </si>
  <si>
    <t>Part</t>
  </si>
  <si>
    <t>RES001</t>
  </si>
  <si>
    <t>R_Tol</t>
  </si>
  <si>
    <t>R_TC</t>
  </si>
  <si>
    <t>voff</t>
  </si>
  <si>
    <t>U1 voff TC</t>
  </si>
  <si>
    <t>voff_TC</t>
  </si>
  <si>
    <t>S, Analysis Node</t>
  </si>
  <si>
    <t>S, vo</t>
  </si>
  <si>
    <t>vo</t>
  </si>
  <si>
    <t>Analysis Node</t>
  </si>
  <si>
    <t>Va</t>
  </si>
  <si>
    <t>Gain from input to analysis node</t>
  </si>
  <si>
    <t>Ka = Va/vin</t>
  </si>
  <si>
    <t>ΔVoffset_rti = 
ΔVo / Ka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</si>
  <si>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</si>
  <si>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</si>
  <si>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</si>
  <si>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</si>
  <si>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</si>
  <si>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</si>
  <si>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Normalized gain errors scale directly to input</t>
  </si>
  <si>
    <t>PASS if &gt; 0</t>
  </si>
  <si>
    <t>Accuracy Spec</t>
  </si>
  <si>
    <t>Referred to Input</t>
  </si>
  <si>
    <t>S   (How does each error source contribute to an Offset error at Analysis Node)</t>
  </si>
  <si>
    <t>Calculate Gains, Levels, Sensitivities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</si>
  <si>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</si>
  <si>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OP001</t>
  </si>
  <si>
    <t>Root Sum Square</t>
  </si>
  <si>
    <t>Worst Case Analysis</t>
  </si>
  <si>
    <t>Kp</t>
  </si>
  <si>
    <t>vcm</t>
  </si>
  <si>
    <t>R3</t>
  </si>
  <si>
    <t>R4</t>
  </si>
  <si>
    <t>Kn</t>
  </si>
  <si>
    <t>vo/vsp = (R4/(R3+R4)*(R2/R1 + 1)</t>
  </si>
  <si>
    <t>vo/vsn = -R2/R1</t>
  </si>
  <si>
    <t>vsp</t>
  </si>
  <si>
    <t>vsn</t>
  </si>
  <si>
    <t>vcm + vs/2</t>
  </si>
  <si>
    <t>vcm - vs/2</t>
  </si>
  <si>
    <t>diff input</t>
  </si>
  <si>
    <t>common mode</t>
  </si>
  <si>
    <t>Inputs</t>
  </si>
  <si>
    <t>Output</t>
  </si>
  <si>
    <t>U1 ib</t>
  </si>
  <si>
    <t>R3||R4</t>
  </si>
  <si>
    <t>(1/(1/R3+1/R4)</t>
  </si>
  <si>
    <t>S = vo / ib = (R3||R4)*(R2/R1+1) - R2</t>
  </si>
  <si>
    <t>U1 iboff</t>
  </si>
  <si>
    <t>S = vo / iboff = 1/2*((R3||R4)*(R2/R1+1) + R2)</t>
  </si>
  <si>
    <t>R2, Kp</t>
  </si>
  <si>
    <t>1/(R3/R4+1)*(R2/R1+1)</t>
  </si>
  <si>
    <t>`</t>
  </si>
  <si>
    <t>K( R2*1.01 )</t>
  </si>
  <si>
    <t>K( R1*1.01 )</t>
  </si>
  <si>
    <t>R2, Kn</t>
  </si>
  <si>
    <t>-R2/R1</t>
  </si>
  <si>
    <t>1/(R3/R4+1)*(R2/R1+1)+(R2/R1)</t>
  </si>
  <si>
    <t>Circuit Calc - Differential Amp</t>
  </si>
  <si>
    <t>1/2*(1/(R3/R4+1)*(R2/R1+1)+(R2/R1))</t>
  </si>
  <si>
    <t>R1, 1/2 (Kp-Kn)</t>
  </si>
  <si>
    <t>R2, 1/2 (Kp-Kn)</t>
  </si>
  <si>
    <t>R1, Kp</t>
  </si>
  <si>
    <t>R1, Kn</t>
  </si>
  <si>
    <t>R3, 1/2 (Kp-Kn)</t>
  </si>
  <si>
    <t>K( R3*1.01 )</t>
  </si>
  <si>
    <t>R4, 1/2 (Kp-Kn)</t>
  </si>
  <si>
    <t>K( R4*1.01 )</t>
  </si>
  <si>
    <t>ib</t>
  </si>
  <si>
    <t>iboff</t>
  </si>
  <si>
    <t>ib_TC</t>
  </si>
  <si>
    <t>iboff_TC</t>
  </si>
  <si>
    <t>U1 ib TC</t>
  </si>
  <si>
    <t>U1 iboff TC</t>
  </si>
  <si>
    <t>R2 Tol, Kp-Kn</t>
  </si>
  <si>
    <t>R1 Tol, Kp-Kn</t>
  </si>
  <si>
    <t>R3 Tol, Kp-Kn</t>
  </si>
  <si>
    <t>R4 Tol, Kp-Kn</t>
  </si>
  <si>
    <t>R1 TC, Kp-Kn</t>
  </si>
  <si>
    <t>R2 TC, Kp-Kn</t>
  </si>
  <si>
    <t>R3 TC, Kp-Kn</t>
  </si>
  <si>
    <t>R4 TC, Kp-Kn</t>
  </si>
  <si>
    <t>CMRR</t>
  </si>
  <si>
    <t>U1 voff, vcmr</t>
  </si>
  <si>
    <t>U1 vcmr</t>
  </si>
  <si>
    <t>1/2*1/(R3/R4+1)*(R2/R1+1)+(R2/R1)</t>
  </si>
  <si>
    <t>vo'</t>
  </si>
  <si>
    <t>vo( R1*1.01 )</t>
  </si>
  <si>
    <t>vcm*(1/(R3/R4+1)*(R2/R1+1) - (R2/R1))</t>
  </si>
  <si>
    <t>R1 Tol (cm)</t>
  </si>
  <si>
    <t xml:space="preserve">(vo' - vo) / 0.01 </t>
  </si>
  <si>
    <t>vo( R2*1.01 )</t>
  </si>
  <si>
    <t>R2 Tol (cm)</t>
  </si>
  <si>
    <t>R3 Tol (cm) vs=0</t>
  </si>
  <si>
    <t>vo( R3*1.01 )</t>
  </si>
  <si>
    <t>R4 Tol (cm) vs=0</t>
  </si>
  <si>
    <t>R1 (cm) vs=0</t>
  </si>
  <si>
    <t>R2 (cm) vs=0</t>
  </si>
  <si>
    <t>vo( R4*1.01 )</t>
  </si>
  <si>
    <t>R3 Tol (cm)</t>
  </si>
  <si>
    <t>R4 Tol (cm)</t>
  </si>
  <si>
    <t>R1 TC (cm)</t>
  </si>
  <si>
    <t>R2 TC (cm)</t>
  </si>
  <si>
    <t>R3 TC (cm)</t>
  </si>
  <si>
    <t>R4 TC (cm)</t>
  </si>
  <si>
    <t>S = vo / voff = R/R1+1</t>
  </si>
  <si>
    <t>Offset Errors - Differential Amp</t>
  </si>
  <si>
    <t>Gain Errors - Differential Amp</t>
  </si>
  <si>
    <t>vin+</t>
  </si>
  <si>
    <t>vin pos</t>
  </si>
  <si>
    <t>vin neg</t>
  </si>
  <si>
    <t>vin</t>
  </si>
  <si>
    <t>vin-</t>
  </si>
  <si>
    <t>Signal Gains</t>
  </si>
  <si>
    <t>vsp*Kp + vsn*Kn</t>
  </si>
  <si>
    <t>R at 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</si>
</sst>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12" fillId="0" borderId="0" xfId="0" applyFont="1"/>
    <xf numFmtId="169" fontId="0" fillId="0" borderId="0" xfId="0" applyNumberFormat="1" applyAlignment="1">
      <alignment horizontal="lef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6">
    <dxf>
      <font>
        <color theme="6" tint="-0.24994659260841701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8085830379079342"/>
          <c:h val="0.68432701768713988"/>
        </c:manualLayout>
      </c:layout>
      <c:pieChart>
        <c:varyColors val="1"/>
        <c:ser>
          <c:idx val="0"/>
          <c:order val="0"/>
          <c:tx>
            <c:strRef>
              <c:f>'Offset Errors'!$M$22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9C6-B09F-9FC98403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9C6-B09F-9FC984038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9C6-B09F-9FC984038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D-46DB-80FE-419C95934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1BF-4263-B750-A433D1CAE8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1BF-4263-B750-A433D1CAE8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1BF-4263-B750-A433D1CAE8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B72-448C-9A44-4105EC7FD70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B72-448C-9A44-4105EC7FD70C}"/>
              </c:ext>
            </c:extLst>
          </c:dPt>
          <c:cat>
            <c:strRef>
              <c:f>'Offset Errors'!$B$23:$B$31</c:f>
              <c:strCache>
                <c:ptCount val="9"/>
                <c:pt idx="0">
                  <c:v>U1 voff</c:v>
                </c:pt>
                <c:pt idx="1">
                  <c:v>U1 ib</c:v>
                </c:pt>
                <c:pt idx="2">
                  <c:v>U1 iboff</c:v>
                </c:pt>
                <c:pt idx="3">
                  <c:v>U1 vcmr</c:v>
                </c:pt>
                <c:pt idx="4">
                  <c:v>R1 Tol (cm)</c:v>
                </c:pt>
                <c:pt idx="5">
                  <c:v>R2 Tol (cm)</c:v>
                </c:pt>
                <c:pt idx="6">
                  <c:v>R3 Tol (cm)</c:v>
                </c:pt>
                <c:pt idx="7">
                  <c:v>R4 Tol (cm)</c:v>
                </c:pt>
                <c:pt idx="8">
                  <c:v>end</c:v>
                </c:pt>
              </c:strCache>
            </c:strRef>
          </c:cat>
          <c:val>
            <c:numRef>
              <c:f>'Offset Errors'!$M$23:$M$31</c:f>
              <c:numCache>
                <c:formatCode>0.000000</c:formatCode>
                <c:ptCount val="9"/>
                <c:pt idx="0">
                  <c:v>1.2000000000000002E-4</c:v>
                </c:pt>
                <c:pt idx="1">
                  <c:v>0</c:v>
                </c:pt>
                <c:pt idx="2">
                  <c:v>5.0000000000000001E-4</c:v>
                </c:pt>
                <c:pt idx="3">
                  <c:v>6.0000000000000008E-5</c:v>
                </c:pt>
                <c:pt idx="4">
                  <c:v>8.250825082508406E-4</c:v>
                </c:pt>
                <c:pt idx="5">
                  <c:v>8.3333333333328601E-4</c:v>
                </c:pt>
                <c:pt idx="6">
                  <c:v>8.3194675540765317E-4</c:v>
                </c:pt>
                <c:pt idx="7">
                  <c:v>8.2644628099171058E-4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7-49C6-B09F-9FC98403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948016959476221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4868529055576447"/>
          <c:y val="3.338019020167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4693720536718617"/>
          <c:h val="0.69818818651924652"/>
        </c:manualLayout>
      </c:layout>
      <c:pieChart>
        <c:varyColors val="1"/>
        <c:ser>
          <c:idx val="0"/>
          <c:order val="0"/>
          <c:tx>
            <c:strRef>
              <c:f>'Offset Errors'!$M$36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8-4D98-84D9-D72901C43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8-4D98-84D9-D72901C43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8-4D98-84D9-D72901C43C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B-42B3-856A-16BA5D4B49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B9-4C12-B7AC-39053FFC76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3B9-4C12-B7AC-39053FFC76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3B9-4C12-B7AC-39053FFC76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3B9-4C12-B7AC-39053FFC7680}"/>
              </c:ext>
            </c:extLst>
          </c:dPt>
          <c:cat>
            <c:strRef>
              <c:f>'Offset Errors'!$B$37:$B$44</c:f>
              <c:strCache>
                <c:ptCount val="8"/>
                <c:pt idx="0">
                  <c:v>U1 voff TC</c:v>
                </c:pt>
                <c:pt idx="1">
                  <c:v>U1 ib TC</c:v>
                </c:pt>
                <c:pt idx="2">
                  <c:v>U1 iboff TC</c:v>
                </c:pt>
                <c:pt idx="3">
                  <c:v>R1 TC (cm)</c:v>
                </c:pt>
                <c:pt idx="4">
                  <c:v>R2 TC (cm)</c:v>
                </c:pt>
                <c:pt idx="5">
                  <c:v>R3 TC (cm)</c:v>
                </c:pt>
                <c:pt idx="6">
                  <c:v>R4 TC (cm)</c:v>
                </c:pt>
                <c:pt idx="7">
                  <c:v>end</c:v>
                </c:pt>
              </c:strCache>
            </c:strRef>
          </c:cat>
          <c:val>
            <c:numRef>
              <c:f>'Offset Errors'!$M$37:$M$44</c:f>
              <c:numCache>
                <c:formatCode>0.000000</c:formatCode>
                <c:ptCount val="8"/>
                <c:pt idx="0">
                  <c:v>3.6000000000000002E-4</c:v>
                </c:pt>
                <c:pt idx="1">
                  <c:v>0</c:v>
                </c:pt>
                <c:pt idx="2">
                  <c:v>3.0000000000000001E-3</c:v>
                </c:pt>
                <c:pt idx="3">
                  <c:v>6.1881188118813042E-4</c:v>
                </c:pt>
                <c:pt idx="4">
                  <c:v>6.2499999999996445E-4</c:v>
                </c:pt>
                <c:pt idx="5">
                  <c:v>6.2396006655573988E-4</c:v>
                </c:pt>
                <c:pt idx="6">
                  <c:v>6.1983471074378294E-4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8-4D98-84D9-D72901C4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1974145015487704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607388778207874"/>
          <c:y val="0.23323687831379492"/>
          <c:w val="0.48060881290195512"/>
          <c:h val="0.70286961068656628"/>
        </c:manualLayout>
      </c:layout>
      <c:pieChart>
        <c:varyColors val="1"/>
        <c:ser>
          <c:idx val="0"/>
          <c:order val="0"/>
          <c:tx>
            <c:strRef>
              <c:f>'Gain Errors'!$M$22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33-49A9-9635-47143219C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33-49A9-9635-47143219C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33-49A9-9635-47143219C2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ED-456B-A8D9-FB9A76B917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CD-4A53-86F4-7E18789B809C}"/>
              </c:ext>
            </c:extLst>
          </c:dPt>
          <c:cat>
            <c:strRef>
              <c:f>'Gain Errors'!$B$23:$B$27</c:f>
              <c:strCache>
                <c:ptCount val="5"/>
                <c:pt idx="0">
                  <c:v>R1 Tol, Kp-Kn</c:v>
                </c:pt>
                <c:pt idx="1">
                  <c:v>R2 Tol, Kp-Kn</c:v>
                </c:pt>
                <c:pt idx="2">
                  <c:v>R3 Tol, Kp-Kn</c:v>
                </c:pt>
                <c:pt idx="3">
                  <c:v>R4 Tol, Kp-Kn</c:v>
                </c:pt>
                <c:pt idx="4">
                  <c:v>end</c:v>
                </c:pt>
              </c:strCache>
            </c:strRef>
          </c:cat>
          <c:val>
            <c:numRef>
              <c:f>'Gain Errors'!$M$23:$M$27</c:f>
              <c:numCache>
                <c:formatCode>0.000</c:formatCode>
                <c:ptCount val="5"/>
                <c:pt idx="0">
                  <c:v>9.075907590759158E-2</c:v>
                </c:pt>
                <c:pt idx="1">
                  <c:v>9.1666666666666785E-2</c:v>
                </c:pt>
                <c:pt idx="2">
                  <c:v>8.3194675540774199E-3</c:v>
                </c:pt>
                <c:pt idx="3">
                  <c:v>8.2644628099171058E-3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3-49A9-9635-47143219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8991619551424841"/>
          <c:h val="0.72774436782819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6865279118982555"/>
          <c:y val="3.3379823388265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564724161340566"/>
          <c:y val="0.20520771536621599"/>
          <c:w val="0.45486824636565021"/>
          <c:h val="0.71835192665134784"/>
        </c:manualLayout>
      </c:layout>
      <c:pieChart>
        <c:varyColors val="1"/>
        <c:ser>
          <c:idx val="0"/>
          <c:order val="0"/>
          <c:tx>
            <c:strRef>
              <c:f>'Gain Errors'!$M$33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1A8-B91D-C7DC8AE43F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1A8-B91D-C7DC8AE43F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1A8-B91D-C7DC8AE43F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22-4B2A-96D8-EFAC682273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22-4B2A-96D8-EFAC6822733A}"/>
              </c:ext>
            </c:extLst>
          </c:dPt>
          <c:cat>
            <c:strRef>
              <c:f>'Gain Errors'!$B$34:$B$38</c:f>
              <c:strCache>
                <c:ptCount val="5"/>
                <c:pt idx="0">
                  <c:v>R1 TC, Kp-Kn</c:v>
                </c:pt>
                <c:pt idx="1">
                  <c:v>R2 TC, Kp-Kn</c:v>
                </c:pt>
                <c:pt idx="2">
                  <c:v>R3 TC, Kp-Kn</c:v>
                </c:pt>
                <c:pt idx="3">
                  <c:v>R4 TC, Kp-Kn</c:v>
                </c:pt>
                <c:pt idx="4">
                  <c:v>end</c:v>
                </c:pt>
              </c:strCache>
            </c:strRef>
          </c:cat>
          <c:val>
            <c:numRef>
              <c:f>'Gain Errors'!$M$34:$M$38</c:f>
              <c:numCache>
                <c:formatCode>0.000</c:formatCode>
                <c:ptCount val="5"/>
                <c:pt idx="0">
                  <c:v>6.8069306930693685E-2</c:v>
                </c:pt>
                <c:pt idx="1">
                  <c:v>6.8750000000000089E-2</c:v>
                </c:pt>
                <c:pt idx="2">
                  <c:v>6.2396006655580649E-3</c:v>
                </c:pt>
                <c:pt idx="3">
                  <c:v>6.1983471074378294E-3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7-41A8-B91D-C7DC8AE4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3167452092378491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36286</xdr:colOff>
      <xdr:row>6</xdr:row>
      <xdr:rowOff>108858</xdr:rowOff>
    </xdr:from>
    <xdr:to>
      <xdr:col>16</xdr:col>
      <xdr:colOff>154213</xdr:colOff>
      <xdr:row>22</xdr:row>
      <xdr:rowOff>114518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8E6DD0-99DD-A890-8690-727B7CD6A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3215" y="1333501"/>
          <a:ext cx="6340927" cy="2908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104474</xdr:colOff>
      <xdr:row>6</xdr:row>
      <xdr:rowOff>39531</xdr:rowOff>
    </xdr:from>
    <xdr:to>
      <xdr:col>9</xdr:col>
      <xdr:colOff>814294</xdr:colOff>
      <xdr:row>16</xdr:row>
      <xdr:rowOff>13449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B7709-55C8-4417-8971-2D20DF91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870318</xdr:colOff>
      <xdr:row>6</xdr:row>
      <xdr:rowOff>47051</xdr:rowOff>
    </xdr:from>
    <xdr:to>
      <xdr:col>12</xdr:col>
      <xdr:colOff>896471</xdr:colOff>
      <xdr:row>16</xdr:row>
      <xdr:rowOff>7470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80B92-47CB-4686-BE28-F4D4CF926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39249</xdr:colOff>
      <xdr:row>6</xdr:row>
      <xdr:rowOff>30535</xdr:rowOff>
    </xdr:from>
    <xdr:to>
      <xdr:col>10</xdr:col>
      <xdr:colOff>381000</xdr:colOff>
      <xdr:row>15</xdr:row>
      <xdr:rowOff>173461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9D34-509B-4D7A-94A4-4C4C153D5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406334</xdr:colOff>
      <xdr:row>6</xdr:row>
      <xdr:rowOff>36089</xdr:rowOff>
    </xdr:from>
    <xdr:to>
      <xdr:col>14</xdr:col>
      <xdr:colOff>141941</xdr:colOff>
      <xdr:row>16</xdr:row>
      <xdr:rowOff>22640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42ABE-8A35-48A0-9ADB-EB62A39C1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sheetPr>
    <tabColor rgb="FFFFFF99"/>
  </sheetPr>
  <dimension ref="A1:J91"/>
  <sheetViews>
    <sheetView tabSelected="1" zoomScale="70" zoomScaleNormal="70" workbookViewId="0">
      <selection activeCell="C12" sqref="C12"/>
    </sheetView>
  </sheetViews>
  <sheetFormatPr defaultRowHeight="14.5" x14ac:dyDescent="0.35"/>
  <cols>
    <col min="1" max="1" width="15.08984375" customWidth="1"/>
    <col min="2" max="2" width="12.1796875" customWidth="1"/>
    <col min="3" max="3" width="12.453125" customWidth="1"/>
    <col min="6" max="6" width="11.81640625" customWidth="1"/>
    <col min="7" max="7" width="10.81640625" customWidth="1"/>
  </cols>
  <sheetData>
    <row r="1" spans="1:8" ht="21" x14ac:dyDescent="0.5">
      <c r="A1" s="43" t="s">
        <v>123</v>
      </c>
      <c r="F1" s="1"/>
    </row>
    <row r="2" spans="1:8" ht="18.5" x14ac:dyDescent="0.45">
      <c r="A2" s="47" t="s">
        <v>89</v>
      </c>
      <c r="E2" s="3"/>
      <c r="F2" s="2" t="s">
        <v>18</v>
      </c>
    </row>
    <row r="3" spans="1:8" x14ac:dyDescent="0.35">
      <c r="E3" s="4"/>
      <c r="F3" s="2" t="s">
        <v>19</v>
      </c>
      <c r="H3" s="1"/>
    </row>
    <row r="4" spans="1:8" x14ac:dyDescent="0.35">
      <c r="F4" s="1"/>
      <c r="G4" s="1"/>
      <c r="H4" s="1"/>
    </row>
    <row r="5" spans="1:8" x14ac:dyDescent="0.35">
      <c r="A5" s="5" t="s">
        <v>62</v>
      </c>
      <c r="B5" s="5"/>
      <c r="C5" s="5"/>
      <c r="D5" s="5"/>
      <c r="E5" s="5"/>
    </row>
    <row r="7" spans="1:8" x14ac:dyDescent="0.35">
      <c r="A7" t="s">
        <v>49</v>
      </c>
      <c r="B7" s="3" t="s">
        <v>1</v>
      </c>
      <c r="C7" s="1">
        <v>100000</v>
      </c>
      <c r="D7" t="s">
        <v>9</v>
      </c>
    </row>
    <row r="8" spans="1:8" x14ac:dyDescent="0.35">
      <c r="B8" s="3" t="s">
        <v>2</v>
      </c>
      <c r="C8" s="1">
        <v>500000</v>
      </c>
      <c r="D8" t="s">
        <v>9</v>
      </c>
    </row>
    <row r="10" spans="1:8" x14ac:dyDescent="0.35">
      <c r="B10" s="3" t="s">
        <v>96</v>
      </c>
      <c r="C10" s="1">
        <v>100000</v>
      </c>
      <c r="D10" t="s">
        <v>9</v>
      </c>
    </row>
    <row r="11" spans="1:8" x14ac:dyDescent="0.35">
      <c r="B11" s="3" t="s">
        <v>97</v>
      </c>
      <c r="C11" s="1">
        <v>500000</v>
      </c>
      <c r="D11" t="s">
        <v>9</v>
      </c>
    </row>
    <row r="13" spans="1:8" x14ac:dyDescent="0.35">
      <c r="A13" t="s">
        <v>178</v>
      </c>
      <c r="B13" s="4" t="s">
        <v>94</v>
      </c>
      <c r="C13" s="6">
        <f>($C$11/(($C$10+$C$11))*($C$8/$C$7+1))</f>
        <v>5</v>
      </c>
      <c r="D13" t="s">
        <v>99</v>
      </c>
    </row>
    <row r="14" spans="1:8" x14ac:dyDescent="0.35">
      <c r="B14" s="4" t="s">
        <v>98</v>
      </c>
      <c r="C14" s="6">
        <f>-$C$8/$C$7</f>
        <v>-5</v>
      </c>
      <c r="D14" t="s">
        <v>100</v>
      </c>
    </row>
    <row r="16" spans="1:8" x14ac:dyDescent="0.35">
      <c r="A16" t="s">
        <v>107</v>
      </c>
      <c r="B16" s="3" t="s">
        <v>173</v>
      </c>
      <c r="C16" s="6">
        <v>0.05</v>
      </c>
      <c r="D16" s="19" t="s">
        <v>174</v>
      </c>
    </row>
    <row r="17" spans="1:10" x14ac:dyDescent="0.35">
      <c r="B17" s="3" t="s">
        <v>177</v>
      </c>
      <c r="C17" s="6">
        <v>-0.05</v>
      </c>
      <c r="D17" s="19" t="s">
        <v>175</v>
      </c>
    </row>
    <row r="18" spans="1:10" x14ac:dyDescent="0.35">
      <c r="B18" s="4" t="s">
        <v>176</v>
      </c>
      <c r="C18" s="6">
        <f>C16-C17</f>
        <v>0.1</v>
      </c>
      <c r="D18" s="19" t="s">
        <v>105</v>
      </c>
    </row>
    <row r="19" spans="1:10" x14ac:dyDescent="0.35">
      <c r="B19" s="3" t="s">
        <v>95</v>
      </c>
      <c r="C19" s="10">
        <v>5</v>
      </c>
      <c r="D19" s="19" t="s">
        <v>106</v>
      </c>
    </row>
    <row r="20" spans="1:10" x14ac:dyDescent="0.35">
      <c r="B20" s="4" t="s">
        <v>101</v>
      </c>
      <c r="C20" s="6">
        <f>$C$18/2+$C$19</f>
        <v>5.05</v>
      </c>
      <c r="D20" s="19" t="s">
        <v>103</v>
      </c>
    </row>
    <row r="21" spans="1:10" x14ac:dyDescent="0.35">
      <c r="B21" s="4" t="s">
        <v>102</v>
      </c>
      <c r="C21" s="6">
        <f>-$C$18/2+$C$19</f>
        <v>4.95</v>
      </c>
      <c r="D21" s="19" t="s">
        <v>104</v>
      </c>
    </row>
    <row r="22" spans="1:10" x14ac:dyDescent="0.35">
      <c r="A22" t="s">
        <v>108</v>
      </c>
      <c r="B22" s="4" t="s">
        <v>72</v>
      </c>
      <c r="C22" s="6">
        <f>$C$20*$C$13+$C$21*$C$14</f>
        <v>0.5</v>
      </c>
      <c r="D22" t="s">
        <v>179</v>
      </c>
    </row>
    <row r="24" spans="1:10" x14ac:dyDescent="0.35">
      <c r="A24" t="s">
        <v>180</v>
      </c>
      <c r="B24" s="4" t="s">
        <v>110</v>
      </c>
      <c r="C24" s="16">
        <f>1/(1/$C$10+1/$C$11)</f>
        <v>83333.333333333328</v>
      </c>
      <c r="D24" t="s">
        <v>111</v>
      </c>
    </row>
    <row r="27" spans="1:10" x14ac:dyDescent="0.35">
      <c r="A27" s="15" t="s">
        <v>40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x14ac:dyDescent="0.35">
      <c r="A28" t="s">
        <v>88</v>
      </c>
      <c r="B28" s="9"/>
      <c r="E28" s="9"/>
    </row>
    <row r="29" spans="1:10" x14ac:dyDescent="0.35">
      <c r="A29" s="7"/>
      <c r="B29" s="9"/>
      <c r="E29" s="9"/>
    </row>
    <row r="30" spans="1:10" x14ac:dyDescent="0.35">
      <c r="A30" s="8"/>
      <c r="B30" t="s">
        <v>70</v>
      </c>
    </row>
    <row r="31" spans="1:10" x14ac:dyDescent="0.35">
      <c r="A31" s="11" t="s">
        <v>148</v>
      </c>
      <c r="B31" s="4" t="s">
        <v>71</v>
      </c>
      <c r="C31" s="10">
        <f>$C$8/$C$7+1</f>
        <v>6</v>
      </c>
      <c r="D31" s="2" t="s">
        <v>170</v>
      </c>
    </row>
    <row r="32" spans="1:10" x14ac:dyDescent="0.35">
      <c r="A32" s="11"/>
      <c r="C32" s="10"/>
    </row>
    <row r="33" spans="1:4" x14ac:dyDescent="0.35">
      <c r="A33" s="11" t="s">
        <v>109</v>
      </c>
      <c r="B33" s="4" t="s">
        <v>71</v>
      </c>
      <c r="C33" s="16">
        <f>$C$24*($C$8/$C$7+1)-$C$8</f>
        <v>0</v>
      </c>
      <c r="D33" s="2" t="s">
        <v>112</v>
      </c>
    </row>
    <row r="34" spans="1:4" x14ac:dyDescent="0.35">
      <c r="A34" s="11"/>
      <c r="C34" s="16"/>
      <c r="D34" s="2"/>
    </row>
    <row r="35" spans="1:4" x14ac:dyDescent="0.35">
      <c r="A35" s="11" t="s">
        <v>113</v>
      </c>
      <c r="B35" s="4" t="s">
        <v>71</v>
      </c>
      <c r="C35" s="16">
        <f>1/2*($C$24*($C$8/$C$7+1)+$C$8)</f>
        <v>500000</v>
      </c>
      <c r="D35" s="2" t="s">
        <v>114</v>
      </c>
    </row>
    <row r="36" spans="1:4" x14ac:dyDescent="0.35">
      <c r="A36" s="11"/>
      <c r="C36" s="10"/>
      <c r="D36" s="2"/>
    </row>
    <row r="37" spans="1:4" x14ac:dyDescent="0.35">
      <c r="A37" t="s">
        <v>161</v>
      </c>
      <c r="B37" s="4" t="s">
        <v>72</v>
      </c>
      <c r="C37" s="6">
        <f>$C$19*(1/($C$10/$C$11+1)*($C$8/$C$7+1)-(C$8/$C$7))</f>
        <v>0</v>
      </c>
      <c r="D37" t="s">
        <v>153</v>
      </c>
    </row>
    <row r="38" spans="1:4" x14ac:dyDescent="0.35">
      <c r="B38" s="4" t="s">
        <v>151</v>
      </c>
      <c r="C38" s="6">
        <f>$C$19*(1/($C$10/$C$11+1)*($C$8/($C$7*1.01)+1)-(C$8/($C$7*1.01)))</f>
        <v>4.1254125412542031E-2</v>
      </c>
      <c r="D38" t="s">
        <v>152</v>
      </c>
    </row>
    <row r="39" spans="1:4" x14ac:dyDescent="0.35">
      <c r="B39" s="4" t="s">
        <v>0</v>
      </c>
      <c r="C39" s="25">
        <f>(C38-C37)/0.01</f>
        <v>4.1254125412542031</v>
      </c>
      <c r="D39" s="2" t="s">
        <v>155</v>
      </c>
    </row>
    <row r="40" spans="1:4" x14ac:dyDescent="0.35">
      <c r="A40" s="8"/>
      <c r="C40" s="10"/>
      <c r="D40" s="2"/>
    </row>
    <row r="41" spans="1:4" x14ac:dyDescent="0.35">
      <c r="A41" t="s">
        <v>162</v>
      </c>
      <c r="B41" s="4" t="s">
        <v>72</v>
      </c>
      <c r="C41" s="6">
        <f>$C$19*(1/($C$10/$C$11+1)*($C$8/$C$7+1)-(C$8/$C$7))</f>
        <v>0</v>
      </c>
      <c r="D41" t="s">
        <v>153</v>
      </c>
    </row>
    <row r="42" spans="1:4" x14ac:dyDescent="0.35">
      <c r="B42" s="4" t="s">
        <v>151</v>
      </c>
      <c r="C42" s="6">
        <f>$C$19*(1/($C$10/$C$11+1)*($C$8*1.01/$C$7+1)-(C$8*1.01/$C$7))</f>
        <v>-4.1666666666664298E-2</v>
      </c>
      <c r="D42" t="s">
        <v>156</v>
      </c>
    </row>
    <row r="43" spans="1:4" x14ac:dyDescent="0.35">
      <c r="B43" s="4" t="s">
        <v>0</v>
      </c>
      <c r="C43" s="25">
        <f>(C42-C41)/0.01</f>
        <v>-4.1666666666664298</v>
      </c>
      <c r="D43" s="2" t="s">
        <v>155</v>
      </c>
    </row>
    <row r="44" spans="1:4" x14ac:dyDescent="0.35">
      <c r="A44" s="8"/>
      <c r="C44" s="10"/>
      <c r="D44" s="2"/>
    </row>
    <row r="45" spans="1:4" x14ac:dyDescent="0.35">
      <c r="A45" t="s">
        <v>158</v>
      </c>
      <c r="B45" s="4" t="s">
        <v>72</v>
      </c>
      <c r="C45" s="6">
        <f>$C$19*(1/($C$10/$C$11+1)*($C$8/$C$7+1)-(C$8/$C$7))</f>
        <v>0</v>
      </c>
      <c r="D45" t="s">
        <v>153</v>
      </c>
    </row>
    <row r="46" spans="1:4" x14ac:dyDescent="0.35">
      <c r="B46" s="4" t="s">
        <v>151</v>
      </c>
      <c r="C46" s="6">
        <f>$C$19*(1/($C$10*1.01/$C$11+1)*($C$8/$C$7+1)-(C$8/$C$7))</f>
        <v>-4.1597337770382659E-2</v>
      </c>
      <c r="D46" t="s">
        <v>159</v>
      </c>
    </row>
    <row r="47" spans="1:4" x14ac:dyDescent="0.35">
      <c r="B47" s="4" t="s">
        <v>0</v>
      </c>
      <c r="C47" s="25">
        <f>(C46-C45)/0.01</f>
        <v>-4.1597337770382659</v>
      </c>
      <c r="D47" s="2" t="s">
        <v>155</v>
      </c>
    </row>
    <row r="48" spans="1:4" x14ac:dyDescent="0.35">
      <c r="A48" s="8"/>
      <c r="C48" s="10"/>
      <c r="D48" s="2"/>
    </row>
    <row r="49" spans="1:10" x14ac:dyDescent="0.35">
      <c r="A49" t="s">
        <v>160</v>
      </c>
      <c r="B49" s="4" t="s">
        <v>72</v>
      </c>
      <c r="C49" s="6">
        <f>$C$19*(1/($C$10/$C$11+1)*($C$8/$C$7+1)-(C$8/$C$7))</f>
        <v>0</v>
      </c>
      <c r="D49" t="s">
        <v>153</v>
      </c>
    </row>
    <row r="50" spans="1:10" x14ac:dyDescent="0.35">
      <c r="B50" s="4" t="s">
        <v>151</v>
      </c>
      <c r="C50" s="6">
        <f>$C$19*(1/($C$10/($C$11*1.01)+1)*($C$8/$C$7+1)-(C$8/$C$7))</f>
        <v>4.1322314049585529E-2</v>
      </c>
      <c r="D50" t="s">
        <v>163</v>
      </c>
    </row>
    <row r="51" spans="1:10" x14ac:dyDescent="0.35">
      <c r="B51" s="4" t="s">
        <v>0</v>
      </c>
      <c r="C51" s="25">
        <f>(C50-C49)/0.01</f>
        <v>4.1322314049585529</v>
      </c>
      <c r="D51" s="2" t="s">
        <v>155</v>
      </c>
    </row>
    <row r="52" spans="1:10" x14ac:dyDescent="0.35">
      <c r="A52" s="8"/>
      <c r="D52" s="2"/>
    </row>
    <row r="53" spans="1:10" x14ac:dyDescent="0.35">
      <c r="A53" s="15" t="s">
        <v>41</v>
      </c>
      <c r="B53" s="15"/>
      <c r="C53" s="15"/>
      <c r="D53" s="15"/>
      <c r="E53" s="15"/>
      <c r="F53" s="15"/>
      <c r="G53" s="15"/>
      <c r="H53" s="15"/>
      <c r="I53" s="15"/>
      <c r="J53" s="15"/>
    </row>
    <row r="54" spans="1:10" x14ac:dyDescent="0.35">
      <c r="A54" t="s">
        <v>47</v>
      </c>
      <c r="B54" s="9"/>
      <c r="E54" s="9"/>
    </row>
    <row r="55" spans="1:10" x14ac:dyDescent="0.35">
      <c r="A55" s="12"/>
      <c r="B55" s="1"/>
      <c r="D55" s="1"/>
      <c r="E55" s="11"/>
    </row>
    <row r="56" spans="1:10" x14ac:dyDescent="0.35">
      <c r="A56" s="11" t="s">
        <v>127</v>
      </c>
      <c r="B56" s="4" t="s">
        <v>3</v>
      </c>
      <c r="C56" s="25">
        <f>1/($C$10/$C$11+1)*($C$8/$C$7+1)</f>
        <v>5</v>
      </c>
      <c r="D56" t="s">
        <v>116</v>
      </c>
      <c r="G56" s="13" t="s">
        <v>10</v>
      </c>
    </row>
    <row r="57" spans="1:10" x14ac:dyDescent="0.35">
      <c r="A57" s="8"/>
      <c r="B57" s="4" t="s">
        <v>4</v>
      </c>
      <c r="C57" s="25">
        <f>1/($C$10/$C$11+1)*($C$8/($C$7*1.01)+1)</f>
        <v>4.9587458745874589</v>
      </c>
      <c r="D57" t="s">
        <v>119</v>
      </c>
      <c r="G57" s="13" t="s">
        <v>61</v>
      </c>
    </row>
    <row r="58" spans="1:10" x14ac:dyDescent="0.35">
      <c r="A58" s="8"/>
      <c r="B58" s="4" t="s">
        <v>0</v>
      </c>
      <c r="C58" s="25">
        <f>((C57-C56)/C56)/0.01</f>
        <v>-0.82508250825082285</v>
      </c>
      <c r="D58" s="2" t="s">
        <v>38</v>
      </c>
      <c r="G58" t="s">
        <v>11</v>
      </c>
    </row>
    <row r="60" spans="1:10" x14ac:dyDescent="0.35">
      <c r="A60" s="11" t="s">
        <v>128</v>
      </c>
      <c r="B60" s="4" t="s">
        <v>3</v>
      </c>
      <c r="C60" s="25">
        <f>-$C$8/$C$7</f>
        <v>-5</v>
      </c>
      <c r="D60" s="19" t="s">
        <v>121</v>
      </c>
      <c r="G60" s="13"/>
    </row>
    <row r="61" spans="1:10" x14ac:dyDescent="0.35">
      <c r="A61" s="8"/>
      <c r="B61" s="4" t="s">
        <v>4</v>
      </c>
      <c r="C61" s="25">
        <f>-$C$8/($C$7*1.01)</f>
        <v>-4.9504950495049505</v>
      </c>
      <c r="D61" t="s">
        <v>119</v>
      </c>
      <c r="G61" s="13"/>
    </row>
    <row r="62" spans="1:10" x14ac:dyDescent="0.35">
      <c r="A62" s="8"/>
      <c r="B62" s="4" t="s">
        <v>0</v>
      </c>
      <c r="C62" s="25">
        <f>((C61-C60)/C60)/0.01</f>
        <v>-0.99009900990099098</v>
      </c>
      <c r="D62" s="2" t="s">
        <v>38</v>
      </c>
    </row>
    <row r="64" spans="1:10" x14ac:dyDescent="0.35">
      <c r="A64" s="11" t="s">
        <v>115</v>
      </c>
      <c r="B64" s="4" t="s">
        <v>3</v>
      </c>
      <c r="C64" s="25">
        <f>1/($C$10/$C$11+1)*($C$8/$C$7+1)</f>
        <v>5</v>
      </c>
      <c r="D64" t="s">
        <v>116</v>
      </c>
      <c r="G64" s="13"/>
    </row>
    <row r="65" spans="1:7" x14ac:dyDescent="0.35">
      <c r="A65" s="8"/>
      <c r="B65" s="4" t="s">
        <v>4</v>
      </c>
      <c r="C65" s="25">
        <f>1/($C$10/$C$11+1)*($C$8*1.01/$C$7+1)</f>
        <v>5.041666666666667</v>
      </c>
      <c r="D65" t="s">
        <v>118</v>
      </c>
      <c r="G65" s="13"/>
    </row>
    <row r="66" spans="1:7" x14ac:dyDescent="0.35">
      <c r="A66" s="8"/>
      <c r="B66" s="4" t="s">
        <v>0</v>
      </c>
      <c r="C66" s="25">
        <f>((C65-C64)/C64)/0.01</f>
        <v>0.83333333333333925</v>
      </c>
      <c r="D66" s="2" t="s">
        <v>38</v>
      </c>
    </row>
    <row r="68" spans="1:7" x14ac:dyDescent="0.35">
      <c r="A68" s="11" t="s">
        <v>120</v>
      </c>
      <c r="B68" s="4" t="s">
        <v>3</v>
      </c>
      <c r="C68" s="25">
        <f>-$C$8/$C$7</f>
        <v>-5</v>
      </c>
      <c r="D68" s="19" t="s">
        <v>121</v>
      </c>
    </row>
    <row r="69" spans="1:7" x14ac:dyDescent="0.35">
      <c r="A69" s="8"/>
      <c r="B69" s="4" t="s">
        <v>4</v>
      </c>
      <c r="C69" s="25">
        <f>-$C$8*1.01/$C$7</f>
        <v>-5.05</v>
      </c>
      <c r="D69" t="s">
        <v>118</v>
      </c>
    </row>
    <row r="70" spans="1:7" x14ac:dyDescent="0.35">
      <c r="A70" s="8"/>
      <c r="B70" s="4" t="s">
        <v>0</v>
      </c>
      <c r="C70" s="25">
        <f>((C69-C68)/C68)/0.01</f>
        <v>0.99999999999999634</v>
      </c>
      <c r="D70" s="2" t="s">
        <v>38</v>
      </c>
    </row>
    <row r="71" spans="1:7" x14ac:dyDescent="0.35">
      <c r="F71" t="s">
        <v>117</v>
      </c>
    </row>
    <row r="72" spans="1:7" x14ac:dyDescent="0.35">
      <c r="A72" t="s">
        <v>125</v>
      </c>
      <c r="B72" s="4" t="s">
        <v>3</v>
      </c>
      <c r="C72" s="6">
        <f>1/2*(1/($C$10/$C$11+1)*($C$8/$C$7+1)+(C$8/$C$7))</f>
        <v>5</v>
      </c>
      <c r="D72" t="s">
        <v>124</v>
      </c>
    </row>
    <row r="73" spans="1:7" x14ac:dyDescent="0.35">
      <c r="B73" s="4" t="s">
        <v>4</v>
      </c>
      <c r="C73" s="6">
        <f>1/2*(1/($C$10/$C$11+1)*($C$8/($C$7*1.01)+1)+(C$8/($C$7*1.01)))</f>
        <v>4.9546204620462042</v>
      </c>
      <c r="D73" t="s">
        <v>119</v>
      </c>
    </row>
    <row r="74" spans="1:7" x14ac:dyDescent="0.35">
      <c r="B74" s="4" t="s">
        <v>0</v>
      </c>
      <c r="C74" s="25">
        <f>((C73-C72)/C72)/0.01</f>
        <v>-0.9075907590759158</v>
      </c>
      <c r="D74" s="2" t="s">
        <v>38</v>
      </c>
    </row>
    <row r="76" spans="1:7" x14ac:dyDescent="0.35">
      <c r="A76" t="s">
        <v>126</v>
      </c>
      <c r="B76" s="4" t="s">
        <v>3</v>
      </c>
      <c r="C76" s="6">
        <f>1/2*(1/($C$10/$C$11+1)*($C$8/$C$7+1)+(C$8/$C$7))</f>
        <v>5</v>
      </c>
      <c r="D76" t="s">
        <v>150</v>
      </c>
    </row>
    <row r="77" spans="1:7" x14ac:dyDescent="0.35">
      <c r="B77" s="4" t="s">
        <v>4</v>
      </c>
      <c r="C77" s="6">
        <f>1/2*(1/($C$10/$C$11+1)*($C$8*1.01/$C$7+1)+(C$8*1.01/$C$7))</f>
        <v>5.0458333333333334</v>
      </c>
      <c r="D77" t="s">
        <v>118</v>
      </c>
    </row>
    <row r="78" spans="1:7" x14ac:dyDescent="0.35">
      <c r="B78" s="4" t="s">
        <v>0</v>
      </c>
      <c r="C78" s="25">
        <f>((C77-C76)/C76)/0.01</f>
        <v>0.91666666666666785</v>
      </c>
      <c r="D78" s="2" t="s">
        <v>38</v>
      </c>
    </row>
    <row r="80" spans="1:7" x14ac:dyDescent="0.35">
      <c r="A80" t="s">
        <v>129</v>
      </c>
      <c r="B80" s="4" t="s">
        <v>3</v>
      </c>
      <c r="C80" s="6">
        <f>1/2*(1/($C$10/$C$11+1)*($C$8/$C$7+1)+(C$8/$C$7))</f>
        <v>5</v>
      </c>
      <c r="D80" t="s">
        <v>150</v>
      </c>
    </row>
    <row r="81" spans="1:4" x14ac:dyDescent="0.35">
      <c r="B81" s="4" t="s">
        <v>4</v>
      </c>
      <c r="C81" s="6">
        <f>1/2*(1/($C$10*1.01/$C$11+1)*($C$8/$C$7+1)+(C$8/$C$7))</f>
        <v>4.9958402662229613</v>
      </c>
      <c r="D81" t="s">
        <v>130</v>
      </c>
    </row>
    <row r="82" spans="1:4" x14ac:dyDescent="0.35">
      <c r="B82" s="4" t="s">
        <v>0</v>
      </c>
      <c r="C82" s="25">
        <f>((C81-C80)/C80)/0.01</f>
        <v>-8.3194675540774199E-2</v>
      </c>
      <c r="D82" s="2" t="s">
        <v>38</v>
      </c>
    </row>
    <row r="84" spans="1:4" x14ac:dyDescent="0.35">
      <c r="A84" t="s">
        <v>131</v>
      </c>
      <c r="B84" s="4" t="s">
        <v>3</v>
      </c>
      <c r="C84" s="6">
        <f>1/2*(1/($C$10/$C$11+1)*($C$8/$C$7+1)+(C$8/$C$7))</f>
        <v>5</v>
      </c>
      <c r="D84" t="s">
        <v>122</v>
      </c>
    </row>
    <row r="85" spans="1:4" x14ac:dyDescent="0.35">
      <c r="B85" s="4" t="s">
        <v>4</v>
      </c>
      <c r="C85" s="6">
        <f>1/2*(1/($C$10/($C$11*1.01)+1)*($C$8/$C$7+1)+(C$8/$C$7))</f>
        <v>5.0041322314049586</v>
      </c>
      <c r="D85" t="s">
        <v>132</v>
      </c>
    </row>
    <row r="86" spans="1:4" x14ac:dyDescent="0.35">
      <c r="B86" s="4" t="s">
        <v>0</v>
      </c>
      <c r="C86" s="25">
        <f>((C85-C84)/C84)/0.01</f>
        <v>8.2644628099171058E-2</v>
      </c>
      <c r="D86" s="2" t="s">
        <v>38</v>
      </c>
    </row>
    <row r="89" spans="1:4" x14ac:dyDescent="0.35">
      <c r="A89" t="s">
        <v>31</v>
      </c>
      <c r="B89" s="9"/>
      <c r="D89" s="2"/>
    </row>
    <row r="90" spans="1:4" x14ac:dyDescent="0.35">
      <c r="A90" t="s">
        <v>30</v>
      </c>
      <c r="B90" s="9"/>
      <c r="D90" s="2"/>
    </row>
    <row r="91" spans="1:4" x14ac:dyDescent="0.35">
      <c r="A91" t="s">
        <v>55</v>
      </c>
      <c r="B91" s="9"/>
      <c r="D91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N47"/>
  <sheetViews>
    <sheetView zoomScale="70" zoomScaleNormal="70" workbookViewId="0">
      <selection activeCell="H25" sqref="H25"/>
    </sheetView>
  </sheetViews>
  <sheetFormatPr defaultRowHeight="14.5" x14ac:dyDescent="0.35"/>
  <cols>
    <col min="1" max="1" width="16.1796875" customWidth="1"/>
    <col min="2" max="2" width="17.54296875" customWidth="1"/>
    <col min="3" max="3" width="12.453125" customWidth="1"/>
    <col min="4" max="4" width="11.54296875" customWidth="1"/>
    <col min="5" max="5" width="11.1796875" customWidth="1"/>
    <col min="6" max="6" width="12.453125" customWidth="1"/>
    <col min="7" max="7" width="15.81640625" customWidth="1"/>
    <col min="8" max="8" width="16.81640625" customWidth="1"/>
    <col min="9" max="9" width="17.54296875" customWidth="1"/>
    <col min="10" max="10" width="16" customWidth="1"/>
    <col min="11" max="11" width="13" customWidth="1"/>
    <col min="12" max="12" width="15.81640625" customWidth="1"/>
    <col min="13" max="13" width="16.54296875" customWidth="1"/>
    <col min="14" max="14" width="14.54296875" customWidth="1"/>
  </cols>
  <sheetData>
    <row r="1" spans="1:13" ht="21" x14ac:dyDescent="0.5">
      <c r="A1" s="43" t="s">
        <v>171</v>
      </c>
      <c r="F1" s="1"/>
      <c r="G1" s="1"/>
      <c r="H1" s="1"/>
    </row>
    <row r="2" spans="1:13" ht="18.5" x14ac:dyDescent="0.45">
      <c r="A2" s="44"/>
      <c r="E2" s="3"/>
      <c r="F2" s="2" t="s">
        <v>18</v>
      </c>
      <c r="G2" s="2"/>
      <c r="H2" s="2"/>
    </row>
    <row r="3" spans="1:13" x14ac:dyDescent="0.35">
      <c r="E3" s="4"/>
      <c r="F3" s="2" t="s">
        <v>19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39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26</v>
      </c>
      <c r="G7" s="1"/>
      <c r="H7" s="1"/>
      <c r="I7" s="1"/>
      <c r="J7" s="1"/>
    </row>
    <row r="8" spans="1:13" x14ac:dyDescent="0.35">
      <c r="C8" s="38" t="s">
        <v>90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86</v>
      </c>
      <c r="C11" t="s">
        <v>56</v>
      </c>
      <c r="D11" s="10"/>
      <c r="E11" s="10"/>
      <c r="F11" s="1" t="s">
        <v>85</v>
      </c>
    </row>
    <row r="12" spans="1:13" x14ac:dyDescent="0.35">
      <c r="A12" s="32" t="s">
        <v>21</v>
      </c>
      <c r="B12" s="40" t="s">
        <v>57</v>
      </c>
      <c r="C12" s="4" t="s">
        <v>23</v>
      </c>
      <c r="D12" s="4" t="s">
        <v>32</v>
      </c>
      <c r="E12" s="41" t="s">
        <v>24</v>
      </c>
      <c r="F12" s="4" t="s">
        <v>27</v>
      </c>
      <c r="G12" s="41" t="s">
        <v>29</v>
      </c>
    </row>
    <row r="13" spans="1:13" x14ac:dyDescent="0.35">
      <c r="A13" s="2" t="s">
        <v>87</v>
      </c>
      <c r="B13" s="9">
        <v>5.0000000000000001E-3</v>
      </c>
      <c r="C13" s="14">
        <f>N33</f>
        <v>1.7373412011070868E-3</v>
      </c>
      <c r="D13" s="14">
        <f>N46</f>
        <v>3.2675180760936306E-3</v>
      </c>
      <c r="E13" s="20">
        <f>C13+D13</f>
        <v>5.0048592772007176E-3</v>
      </c>
      <c r="F13" s="16">
        <f>(B13-E13)/B13*100</f>
        <v>-9.7185544014350561E-2</v>
      </c>
      <c r="G13" s="9" t="str">
        <f>IF(F13&gt;0,"PASS", "FAIL")</f>
        <v>FAIL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</row>
    <row r="16" spans="1:13" x14ac:dyDescent="0.35">
      <c r="B16" s="1"/>
      <c r="C16" s="25"/>
      <c r="E16" s="1"/>
      <c r="F16" s="1"/>
    </row>
    <row r="17" spans="1:14" x14ac:dyDescent="0.35">
      <c r="B17" s="1"/>
      <c r="C17" s="1"/>
      <c r="E17" s="1"/>
      <c r="F17" s="1"/>
    </row>
    <row r="18" spans="1:14" x14ac:dyDescent="0.35">
      <c r="B18" s="1"/>
      <c r="H18" s="19"/>
    </row>
    <row r="19" spans="1:14" x14ac:dyDescent="0.35">
      <c r="A19" s="15" t="s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s="8" customFormat="1" ht="29" x14ac:dyDescent="0.35">
      <c r="A21" s="32" t="s">
        <v>14</v>
      </c>
      <c r="B21" s="32"/>
      <c r="C21" s="35"/>
      <c r="D21" s="36" t="s">
        <v>43</v>
      </c>
      <c r="E21" s="36" t="s">
        <v>44</v>
      </c>
      <c r="F21" s="36"/>
      <c r="G21" s="36" t="s">
        <v>73</v>
      </c>
      <c r="H21" s="36" t="s">
        <v>42</v>
      </c>
      <c r="I21" s="39" t="s">
        <v>78</v>
      </c>
      <c r="J21" s="36" t="s">
        <v>75</v>
      </c>
      <c r="K21" s="39" t="s">
        <v>48</v>
      </c>
      <c r="M21" s="31" t="s">
        <v>93</v>
      </c>
      <c r="N21" s="31" t="s">
        <v>92</v>
      </c>
    </row>
    <row r="22" spans="1:14" ht="29" x14ac:dyDescent="0.35">
      <c r="A22" s="22" t="s">
        <v>37</v>
      </c>
      <c r="B22" s="22" t="s">
        <v>50</v>
      </c>
      <c r="C22" s="22" t="s">
        <v>63</v>
      </c>
      <c r="D22" s="30" t="s">
        <v>20</v>
      </c>
      <c r="E22" s="30" t="s">
        <v>20</v>
      </c>
      <c r="F22" s="22" t="s">
        <v>13</v>
      </c>
      <c r="G22" s="30" t="s">
        <v>74</v>
      </c>
      <c r="H22" s="23" t="s">
        <v>0</v>
      </c>
      <c r="I22" s="46" t="s">
        <v>80</v>
      </c>
      <c r="J22" s="24" t="s">
        <v>76</v>
      </c>
      <c r="K22" s="46" t="s">
        <v>77</v>
      </c>
      <c r="M22" s="24" t="s">
        <v>51</v>
      </c>
      <c r="N22" s="24" t="s">
        <v>52</v>
      </c>
    </row>
    <row r="23" spans="1:14" x14ac:dyDescent="0.35">
      <c r="A23" s="1" t="s">
        <v>34</v>
      </c>
      <c r="B23" s="1" t="s">
        <v>54</v>
      </c>
      <c r="C23" s="1" t="s">
        <v>91</v>
      </c>
      <c r="D23" s="1" t="s">
        <v>67</v>
      </c>
      <c r="E23" s="1">
        <v>1E-4</v>
      </c>
      <c r="F23" s="21" t="s">
        <v>5</v>
      </c>
      <c r="G23" s="14" t="s">
        <v>72</v>
      </c>
      <c r="H23" s="25">
        <f>Diff_Amp_Calc!$C$31</f>
        <v>6</v>
      </c>
      <c r="I23" s="28">
        <f>E23*H23</f>
        <v>6.0000000000000006E-4</v>
      </c>
      <c r="J23" s="10">
        <f>Diff_Amp_Calc!$C$13</f>
        <v>5</v>
      </c>
      <c r="K23" s="28">
        <f t="shared" ref="K23:K28" si="0">I23*1/J23</f>
        <v>1.2000000000000002E-4</v>
      </c>
      <c r="L23" s="2" t="s">
        <v>5</v>
      </c>
      <c r="M23" s="28">
        <f t="shared" ref="M23:M28" si="1">ABS(K23)</f>
        <v>1.2000000000000002E-4</v>
      </c>
      <c r="N23" s="17">
        <f t="shared" ref="N23:N28" si="2">K23^2</f>
        <v>1.4400000000000003E-8</v>
      </c>
    </row>
    <row r="24" spans="1:14" x14ac:dyDescent="0.35">
      <c r="A24" s="1" t="s">
        <v>36</v>
      </c>
      <c r="B24" s="1" t="s">
        <v>109</v>
      </c>
      <c r="C24" s="1" t="s">
        <v>91</v>
      </c>
      <c r="D24" s="1" t="s">
        <v>133</v>
      </c>
      <c r="E24" s="17">
        <v>5.0000000000000001E-9</v>
      </c>
      <c r="F24" s="1" t="s">
        <v>12</v>
      </c>
      <c r="G24" s="14" t="s">
        <v>72</v>
      </c>
      <c r="H24" s="16">
        <f>Diff_Amp_Calc!$C$33</f>
        <v>0</v>
      </c>
      <c r="I24" s="28">
        <f>E24*H24</f>
        <v>0</v>
      </c>
      <c r="J24" s="10">
        <f>Diff_Amp_Calc!$C$13</f>
        <v>5</v>
      </c>
      <c r="K24" s="28">
        <f t="shared" si="0"/>
        <v>0</v>
      </c>
      <c r="L24" s="2" t="s">
        <v>5</v>
      </c>
      <c r="M24" s="28">
        <f t="shared" si="1"/>
        <v>0</v>
      </c>
      <c r="N24" s="17">
        <f t="shared" si="2"/>
        <v>0</v>
      </c>
    </row>
    <row r="25" spans="1:14" x14ac:dyDescent="0.35">
      <c r="A25" s="1" t="s">
        <v>36</v>
      </c>
      <c r="B25" s="1" t="s">
        <v>113</v>
      </c>
      <c r="C25" s="1" t="s">
        <v>91</v>
      </c>
      <c r="D25" s="1" t="s">
        <v>134</v>
      </c>
      <c r="E25" s="17">
        <v>5.0000000000000001E-9</v>
      </c>
      <c r="F25" s="1" t="s">
        <v>12</v>
      </c>
      <c r="G25" s="14" t="s">
        <v>72</v>
      </c>
      <c r="H25" s="16">
        <f>Diff_Amp_Calc!$C$35</f>
        <v>500000</v>
      </c>
      <c r="I25" s="28">
        <f>E25*H25</f>
        <v>2.5000000000000001E-3</v>
      </c>
      <c r="J25" s="10">
        <f>Diff_Amp_Calc!$C$13</f>
        <v>5</v>
      </c>
      <c r="K25" s="28">
        <f t="shared" si="0"/>
        <v>5.0000000000000001E-4</v>
      </c>
      <c r="L25" s="2" t="s">
        <v>5</v>
      </c>
      <c r="M25" s="28">
        <f t="shared" si="1"/>
        <v>5.0000000000000001E-4</v>
      </c>
      <c r="N25" s="17">
        <f t="shared" si="2"/>
        <v>2.4999999999999999E-7</v>
      </c>
    </row>
    <row r="26" spans="1:14" x14ac:dyDescent="0.35">
      <c r="A26" s="1" t="s">
        <v>36</v>
      </c>
      <c r="B26" s="1" t="s">
        <v>149</v>
      </c>
      <c r="C26" s="1" t="s">
        <v>91</v>
      </c>
      <c r="D26" s="1" t="s">
        <v>147</v>
      </c>
      <c r="E26" s="17">
        <f>Diff_Amp_Calc!$C$19/10^(100/20)</f>
        <v>5.0000000000000002E-5</v>
      </c>
      <c r="F26" s="1" t="s">
        <v>5</v>
      </c>
      <c r="G26" s="14" t="s">
        <v>72</v>
      </c>
      <c r="H26" s="25">
        <f>Diff_Amp_Calc!$C$31</f>
        <v>6</v>
      </c>
      <c r="I26" s="28">
        <f>E26*H26</f>
        <v>3.0000000000000003E-4</v>
      </c>
      <c r="J26" s="10">
        <f>Diff_Amp_Calc!$C$13</f>
        <v>5</v>
      </c>
      <c r="K26" s="28">
        <f t="shared" si="0"/>
        <v>6.0000000000000008E-5</v>
      </c>
      <c r="L26" s="2" t="s">
        <v>5</v>
      </c>
      <c r="M26" s="28">
        <f t="shared" si="1"/>
        <v>6.0000000000000008E-5</v>
      </c>
      <c r="N26" s="17">
        <f t="shared" si="2"/>
        <v>3.6000000000000008E-9</v>
      </c>
    </row>
    <row r="27" spans="1:14" x14ac:dyDescent="0.35">
      <c r="A27" s="1" t="s">
        <v>36</v>
      </c>
      <c r="B27" s="1" t="s">
        <v>154</v>
      </c>
      <c r="C27" s="1" t="s">
        <v>64</v>
      </c>
      <c r="D27" s="1" t="s">
        <v>65</v>
      </c>
      <c r="E27" s="1">
        <v>0.1</v>
      </c>
      <c r="F27" s="21" t="s">
        <v>8</v>
      </c>
      <c r="G27" s="14" t="s">
        <v>72</v>
      </c>
      <c r="H27" s="25">
        <f>Diff_Amp_Calc!$C$39</f>
        <v>4.1254125412542031</v>
      </c>
      <c r="I27" s="28">
        <f>E27/100*H27</f>
        <v>4.1254125412542031E-3</v>
      </c>
      <c r="J27" s="10">
        <f>Diff_Amp_Calc!$C$13</f>
        <v>5</v>
      </c>
      <c r="K27" s="28">
        <f t="shared" si="0"/>
        <v>8.250825082508406E-4</v>
      </c>
      <c r="L27" s="2" t="s">
        <v>5</v>
      </c>
      <c r="M27" s="28">
        <f t="shared" si="1"/>
        <v>8.250825082508406E-4</v>
      </c>
      <c r="N27" s="17">
        <f t="shared" si="2"/>
        <v>6.807611454214984E-7</v>
      </c>
    </row>
    <row r="28" spans="1:14" x14ac:dyDescent="0.35">
      <c r="A28" s="1" t="s">
        <v>36</v>
      </c>
      <c r="B28" s="1" t="s">
        <v>157</v>
      </c>
      <c r="C28" s="1" t="s">
        <v>64</v>
      </c>
      <c r="D28" s="1" t="s">
        <v>65</v>
      </c>
      <c r="E28" s="1">
        <v>0.1</v>
      </c>
      <c r="F28" s="21" t="s">
        <v>8</v>
      </c>
      <c r="G28" s="14" t="s">
        <v>72</v>
      </c>
      <c r="H28" s="25">
        <f>Diff_Amp_Calc!$C$43</f>
        <v>-4.1666666666664298</v>
      </c>
      <c r="I28" s="28">
        <f>E28/100*H28</f>
        <v>-4.1666666666664298E-3</v>
      </c>
      <c r="J28" s="10">
        <f>Diff_Amp_Calc!$C$13</f>
        <v>5</v>
      </c>
      <c r="K28" s="28">
        <f t="shared" si="0"/>
        <v>-8.3333333333328601E-4</v>
      </c>
      <c r="L28" s="2" t="s">
        <v>5</v>
      </c>
      <c r="M28" s="28">
        <f t="shared" si="1"/>
        <v>8.3333333333328601E-4</v>
      </c>
      <c r="N28" s="17">
        <f t="shared" si="2"/>
        <v>6.944444444443656E-7</v>
      </c>
    </row>
    <row r="29" spans="1:14" x14ac:dyDescent="0.35">
      <c r="A29" s="1" t="s">
        <v>36</v>
      </c>
      <c r="B29" s="1" t="s">
        <v>164</v>
      </c>
      <c r="C29" s="1" t="s">
        <v>64</v>
      </c>
      <c r="D29" s="1" t="s">
        <v>65</v>
      </c>
      <c r="E29" s="1">
        <v>0.1</v>
      </c>
      <c r="F29" s="21" t="s">
        <v>8</v>
      </c>
      <c r="G29" s="14" t="s">
        <v>72</v>
      </c>
      <c r="H29" s="25">
        <f>Diff_Amp_Calc!$C$47</f>
        <v>-4.1597337770382659</v>
      </c>
      <c r="I29" s="28">
        <f>E29/100*H29</f>
        <v>-4.1597337770382659E-3</v>
      </c>
      <c r="J29" s="10">
        <f>Diff_Amp_Calc!$C$13</f>
        <v>5</v>
      </c>
      <c r="K29" s="28">
        <f t="shared" ref="K29:K30" si="3">I29*1/J29</f>
        <v>-8.3194675540765317E-4</v>
      </c>
      <c r="L29" s="2" t="s">
        <v>5</v>
      </c>
      <c r="M29" s="28">
        <f t="shared" ref="M29:M30" si="4">ABS(K29)</f>
        <v>8.3194675540765317E-4</v>
      </c>
      <c r="N29" s="17">
        <f t="shared" ref="N29:N30" si="5">K29^2</f>
        <v>6.921354038333215E-7</v>
      </c>
    </row>
    <row r="30" spans="1:14" x14ac:dyDescent="0.35">
      <c r="A30" s="1" t="s">
        <v>36</v>
      </c>
      <c r="B30" s="1" t="s">
        <v>165</v>
      </c>
      <c r="C30" s="1" t="s">
        <v>64</v>
      </c>
      <c r="D30" s="1" t="s">
        <v>65</v>
      </c>
      <c r="E30" s="1">
        <v>0.1</v>
      </c>
      <c r="F30" s="21" t="s">
        <v>8</v>
      </c>
      <c r="G30" s="14" t="s">
        <v>72</v>
      </c>
      <c r="H30" s="25">
        <f>Diff_Amp_Calc!$C$51</f>
        <v>4.1322314049585529</v>
      </c>
      <c r="I30" s="28">
        <f>E30/100*H30</f>
        <v>4.1322314049585529E-3</v>
      </c>
      <c r="J30" s="10">
        <f>Diff_Amp_Calc!$C$13</f>
        <v>5</v>
      </c>
      <c r="K30" s="28">
        <f t="shared" si="3"/>
        <v>8.2644628099171058E-4</v>
      </c>
      <c r="L30" s="2" t="s">
        <v>5</v>
      </c>
      <c r="M30" s="28">
        <f t="shared" si="4"/>
        <v>8.2644628099171058E-4</v>
      </c>
      <c r="N30" s="17">
        <f t="shared" si="5"/>
        <v>6.8301345536502944E-7</v>
      </c>
    </row>
    <row r="31" spans="1:14" x14ac:dyDescent="0.35">
      <c r="B31" s="1" t="s">
        <v>25</v>
      </c>
      <c r="E31" s="17"/>
      <c r="F31" s="1"/>
      <c r="G31" s="14"/>
      <c r="H31" s="16"/>
      <c r="I31" s="18"/>
      <c r="J31" s="10"/>
      <c r="K31" s="28"/>
    </row>
    <row r="32" spans="1:14" x14ac:dyDescent="0.35">
      <c r="G32" s="1"/>
      <c r="I32" s="1"/>
      <c r="J32" s="10"/>
      <c r="K32" s="20"/>
      <c r="L32" s="2"/>
      <c r="M32" s="39" t="s">
        <v>59</v>
      </c>
      <c r="N32" s="33" t="s">
        <v>60</v>
      </c>
    </row>
    <row r="33" spans="1:14" x14ac:dyDescent="0.35">
      <c r="G33" s="1"/>
      <c r="I33" s="1"/>
      <c r="J33" s="1"/>
      <c r="K33" s="20"/>
      <c r="L33" s="48"/>
      <c r="M33" s="28">
        <f>SUM(M23:M31)</f>
        <v>3.9968088779834907E-3</v>
      </c>
      <c r="N33" s="28">
        <f>SQRT(SUM(N23:N31))</f>
        <v>1.7373412011070868E-3</v>
      </c>
    </row>
    <row r="34" spans="1:14" x14ac:dyDescent="0.35">
      <c r="G34" s="1"/>
      <c r="I34" s="1"/>
      <c r="J34" s="1"/>
      <c r="K34" s="20"/>
      <c r="L34" s="26"/>
    </row>
    <row r="35" spans="1:14" ht="29" x14ac:dyDescent="0.35">
      <c r="A35" s="7" t="s">
        <v>53</v>
      </c>
      <c r="B35" s="7"/>
      <c r="C35" s="7"/>
      <c r="D35" s="36" t="s">
        <v>43</v>
      </c>
      <c r="E35" s="36" t="s">
        <v>44</v>
      </c>
      <c r="G35" s="36" t="s">
        <v>73</v>
      </c>
      <c r="H35" s="36" t="s">
        <v>42</v>
      </c>
      <c r="I35" s="36" t="s">
        <v>78</v>
      </c>
      <c r="J35" s="36" t="s">
        <v>75</v>
      </c>
      <c r="K35" s="39" t="s">
        <v>48</v>
      </c>
      <c r="L35" s="26"/>
      <c r="M35" s="1"/>
      <c r="N35" s="31"/>
    </row>
    <row r="36" spans="1:14" ht="29" x14ac:dyDescent="0.35">
      <c r="A36" s="22" t="s">
        <v>35</v>
      </c>
      <c r="B36" s="22" t="s">
        <v>50</v>
      </c>
      <c r="C36" s="22" t="s">
        <v>63</v>
      </c>
      <c r="D36" s="30" t="s">
        <v>20</v>
      </c>
      <c r="E36" s="30" t="s">
        <v>20</v>
      </c>
      <c r="F36" s="22" t="s">
        <v>13</v>
      </c>
      <c r="G36" s="30" t="s">
        <v>74</v>
      </c>
      <c r="H36" s="23" t="s">
        <v>0</v>
      </c>
      <c r="I36" s="46" t="s">
        <v>79</v>
      </c>
      <c r="J36" s="24" t="s">
        <v>76</v>
      </c>
      <c r="K36" s="46" t="s">
        <v>77</v>
      </c>
      <c r="L36" s="34"/>
      <c r="M36" s="24" t="s">
        <v>51</v>
      </c>
      <c r="N36" s="24" t="s">
        <v>52</v>
      </c>
    </row>
    <row r="37" spans="1:14" x14ac:dyDescent="0.35">
      <c r="A37" s="1" t="s">
        <v>34</v>
      </c>
      <c r="B37" s="1" t="s">
        <v>68</v>
      </c>
      <c r="C37" s="1" t="s">
        <v>91</v>
      </c>
      <c r="D37" s="1" t="s">
        <v>69</v>
      </c>
      <c r="E37" s="27">
        <v>1.0000000000000001E-5</v>
      </c>
      <c r="F37" s="21" t="s">
        <v>16</v>
      </c>
      <c r="G37" s="14" t="s">
        <v>72</v>
      </c>
      <c r="H37" s="25">
        <f>Diff_Amp_Calc!$C$31</f>
        <v>6</v>
      </c>
      <c r="I37" s="28">
        <f>E37*$C$9*H37</f>
        <v>1.8000000000000002E-3</v>
      </c>
      <c r="J37" s="10">
        <f>Diff_Amp_Calc!$C$13</f>
        <v>5</v>
      </c>
      <c r="K37" s="28">
        <f t="shared" ref="K37:K43" si="6">I37*1/J37</f>
        <v>3.6000000000000002E-4</v>
      </c>
      <c r="L37" s="2" t="s">
        <v>5</v>
      </c>
      <c r="M37" s="28">
        <f t="shared" ref="M37:M43" si="7">ABS(K37)</f>
        <v>3.6000000000000002E-4</v>
      </c>
      <c r="N37" s="17">
        <f t="shared" ref="N37:N43" si="8">K37^2</f>
        <v>1.2960000000000002E-7</v>
      </c>
    </row>
    <row r="38" spans="1:14" x14ac:dyDescent="0.35">
      <c r="A38" s="1" t="s">
        <v>36</v>
      </c>
      <c r="B38" s="1" t="s">
        <v>137</v>
      </c>
      <c r="C38" s="1" t="s">
        <v>91</v>
      </c>
      <c r="D38" s="1" t="s">
        <v>135</v>
      </c>
      <c r="E38" s="17">
        <v>1.0000000000000001E-9</v>
      </c>
      <c r="F38" s="1" t="s">
        <v>17</v>
      </c>
      <c r="G38" s="14" t="s">
        <v>72</v>
      </c>
      <c r="H38" s="16">
        <f>Diff_Amp_Calc!$C$33</f>
        <v>0</v>
      </c>
      <c r="I38" s="28">
        <f>E38*$C$9*H38</f>
        <v>0</v>
      </c>
      <c r="J38" s="10">
        <f>Diff_Amp_Calc!$C$13</f>
        <v>5</v>
      </c>
      <c r="K38" s="28">
        <f t="shared" si="6"/>
        <v>0</v>
      </c>
      <c r="L38" s="2" t="s">
        <v>5</v>
      </c>
      <c r="M38" s="28">
        <f t="shared" si="7"/>
        <v>0</v>
      </c>
      <c r="N38" s="17">
        <f t="shared" si="8"/>
        <v>0</v>
      </c>
    </row>
    <row r="39" spans="1:14" x14ac:dyDescent="0.35">
      <c r="A39" s="1" t="s">
        <v>36</v>
      </c>
      <c r="B39" s="1" t="s">
        <v>138</v>
      </c>
      <c r="C39" s="1" t="s">
        <v>91</v>
      </c>
      <c r="D39" s="1" t="s">
        <v>136</v>
      </c>
      <c r="E39" s="17">
        <v>1.0000000000000001E-9</v>
      </c>
      <c r="F39" s="1" t="s">
        <v>17</v>
      </c>
      <c r="G39" s="14" t="s">
        <v>72</v>
      </c>
      <c r="H39" s="16">
        <f>Diff_Amp_Calc!$C$35</f>
        <v>500000</v>
      </c>
      <c r="I39" s="28">
        <f>E39*$C$9*H39</f>
        <v>1.5000000000000001E-2</v>
      </c>
      <c r="J39" s="10">
        <f>Diff_Amp_Calc!$C$13</f>
        <v>5</v>
      </c>
      <c r="K39" s="28">
        <f t="shared" si="6"/>
        <v>3.0000000000000001E-3</v>
      </c>
      <c r="L39" s="2" t="s">
        <v>5</v>
      </c>
      <c r="M39" s="28">
        <f t="shared" si="7"/>
        <v>3.0000000000000001E-3</v>
      </c>
      <c r="N39" s="17">
        <f t="shared" si="8"/>
        <v>9.0000000000000002E-6</v>
      </c>
    </row>
    <row r="40" spans="1:14" x14ac:dyDescent="0.35">
      <c r="A40" s="1" t="s">
        <v>36</v>
      </c>
      <c r="B40" s="1" t="s">
        <v>166</v>
      </c>
      <c r="C40" s="1" t="s">
        <v>64</v>
      </c>
      <c r="D40" s="1" t="s">
        <v>66</v>
      </c>
      <c r="E40" s="1">
        <v>25</v>
      </c>
      <c r="F40" s="21" t="s">
        <v>15</v>
      </c>
      <c r="G40" s="14" t="s">
        <v>72</v>
      </c>
      <c r="H40" s="25">
        <f>Diff_Amp_Calc!$C$39</f>
        <v>4.1254125412542031</v>
      </c>
      <c r="I40" s="28">
        <f>E40/1000000*$C$9*H40</f>
        <v>3.0940594059406523E-3</v>
      </c>
      <c r="J40" s="10">
        <f>Diff_Amp_Calc!$C$13</f>
        <v>5</v>
      </c>
      <c r="K40" s="28">
        <f t="shared" si="6"/>
        <v>6.1881188118813042E-4</v>
      </c>
      <c r="L40" s="2" t="s">
        <v>5</v>
      </c>
      <c r="M40" s="28">
        <f t="shared" si="7"/>
        <v>6.1881188118813042E-4</v>
      </c>
      <c r="N40" s="17">
        <f t="shared" si="8"/>
        <v>3.8292814429959285E-7</v>
      </c>
    </row>
    <row r="41" spans="1:14" x14ac:dyDescent="0.35">
      <c r="A41" s="1" t="s">
        <v>36</v>
      </c>
      <c r="B41" s="1" t="s">
        <v>167</v>
      </c>
      <c r="C41" s="1" t="s">
        <v>64</v>
      </c>
      <c r="D41" s="1" t="s">
        <v>66</v>
      </c>
      <c r="E41" s="1">
        <v>25</v>
      </c>
      <c r="F41" s="21" t="s">
        <v>15</v>
      </c>
      <c r="G41" s="14" t="s">
        <v>72</v>
      </c>
      <c r="H41" s="25">
        <f>Diff_Amp_Calc!$C$43</f>
        <v>-4.1666666666664298</v>
      </c>
      <c r="I41" s="28">
        <f>E41/1000000*$C$9*H41</f>
        <v>-3.1249999999998224E-3</v>
      </c>
      <c r="J41" s="10">
        <f>Diff_Amp_Calc!$C$13</f>
        <v>5</v>
      </c>
      <c r="K41" s="28">
        <f t="shared" si="6"/>
        <v>-6.2499999999996445E-4</v>
      </c>
      <c r="L41" s="2" t="s">
        <v>5</v>
      </c>
      <c r="M41" s="28">
        <f t="shared" si="7"/>
        <v>6.2499999999996445E-4</v>
      </c>
      <c r="N41" s="17">
        <f t="shared" si="8"/>
        <v>3.9062499999995555E-7</v>
      </c>
    </row>
    <row r="42" spans="1:14" x14ac:dyDescent="0.35">
      <c r="A42" s="1" t="s">
        <v>36</v>
      </c>
      <c r="B42" s="1" t="s">
        <v>168</v>
      </c>
      <c r="C42" s="1" t="s">
        <v>64</v>
      </c>
      <c r="D42" s="1" t="s">
        <v>66</v>
      </c>
      <c r="E42" s="1">
        <v>25</v>
      </c>
      <c r="F42" s="21" t="s">
        <v>15</v>
      </c>
      <c r="G42" s="14" t="s">
        <v>72</v>
      </c>
      <c r="H42" s="25">
        <f>Diff_Amp_Calc!$C$47</f>
        <v>-4.1597337770382659</v>
      </c>
      <c r="I42" s="28">
        <f>E42/1000000*$C$9*H42</f>
        <v>-3.1198003327786994E-3</v>
      </c>
      <c r="J42" s="10">
        <f>Diff_Amp_Calc!$C$13</f>
        <v>5</v>
      </c>
      <c r="K42" s="28">
        <f t="shared" si="6"/>
        <v>-6.2396006655573988E-4</v>
      </c>
      <c r="L42" s="2" t="s">
        <v>5</v>
      </c>
      <c r="M42" s="28">
        <f t="shared" si="7"/>
        <v>6.2396006655573988E-4</v>
      </c>
      <c r="N42" s="17">
        <f t="shared" si="8"/>
        <v>3.8932616465624334E-7</v>
      </c>
    </row>
    <row r="43" spans="1:14" x14ac:dyDescent="0.35">
      <c r="A43" s="1" t="s">
        <v>36</v>
      </c>
      <c r="B43" s="1" t="s">
        <v>169</v>
      </c>
      <c r="C43" s="1" t="s">
        <v>64</v>
      </c>
      <c r="D43" s="1" t="s">
        <v>66</v>
      </c>
      <c r="E43" s="1">
        <v>25</v>
      </c>
      <c r="F43" s="21" t="s">
        <v>15</v>
      </c>
      <c r="G43" s="14" t="s">
        <v>72</v>
      </c>
      <c r="H43" s="25">
        <f>Diff_Amp_Calc!$C$51</f>
        <v>4.1322314049585529</v>
      </c>
      <c r="I43" s="28">
        <f>E43/1000000*$C$9*H43</f>
        <v>3.0991735537189147E-3</v>
      </c>
      <c r="J43" s="10">
        <f>Diff_Amp_Calc!$C$13</f>
        <v>5</v>
      </c>
      <c r="K43" s="28">
        <f t="shared" si="6"/>
        <v>6.1983471074378294E-4</v>
      </c>
      <c r="L43" s="2" t="s">
        <v>5</v>
      </c>
      <c r="M43" s="28">
        <f t="shared" si="7"/>
        <v>6.1983471074378294E-4</v>
      </c>
      <c r="N43" s="17">
        <f t="shared" si="8"/>
        <v>3.8419506864282904E-7</v>
      </c>
    </row>
    <row r="44" spans="1:14" x14ac:dyDescent="0.35">
      <c r="B44" s="1" t="s">
        <v>25</v>
      </c>
    </row>
    <row r="45" spans="1:14" x14ac:dyDescent="0.35">
      <c r="G45" s="1"/>
      <c r="H45" s="1"/>
      <c r="I45" s="1"/>
      <c r="J45" s="29"/>
      <c r="K45" s="2"/>
      <c r="M45" s="39" t="s">
        <v>59</v>
      </c>
      <c r="N45" s="33" t="s">
        <v>60</v>
      </c>
    </row>
    <row r="46" spans="1:14" x14ac:dyDescent="0.35">
      <c r="G46" s="1"/>
      <c r="H46" s="1"/>
      <c r="I46" s="1"/>
      <c r="J46" s="29"/>
      <c r="K46" s="2"/>
      <c r="M46" s="28">
        <f>SUM(M37:M44)</f>
        <v>5.8476066584876177E-3</v>
      </c>
      <c r="N46" s="28">
        <f>SQRT(SUM(N37:N44))</f>
        <v>3.2675180760936306E-3</v>
      </c>
    </row>
    <row r="47" spans="1:14" x14ac:dyDescent="0.35">
      <c r="G47" s="1"/>
      <c r="H47" s="1"/>
      <c r="I47" s="1"/>
      <c r="J47" s="29"/>
      <c r="K47" s="26"/>
    </row>
  </sheetData>
  <phoneticPr fontId="8" type="noConversion"/>
  <conditionalFormatting sqref="G13">
    <cfRule type="containsText" dxfId="5" priority="1" operator="containsText" text="FAIL">
      <formula>NOT(ISERROR(SEARCH("FAIL",G13)))</formula>
    </cfRule>
    <cfRule type="containsText" dxfId="4" priority="2" operator="containsText" text="PASS">
      <formula>NOT(ISERROR(SEARCH("PASS",G13)))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O40"/>
  <sheetViews>
    <sheetView zoomScale="70" zoomScaleNormal="70" workbookViewId="0">
      <selection activeCell="J22" sqref="J22"/>
    </sheetView>
  </sheetViews>
  <sheetFormatPr defaultRowHeight="14.5" x14ac:dyDescent="0.35"/>
  <cols>
    <col min="1" max="1" width="14.6328125" customWidth="1"/>
    <col min="2" max="2" width="15.54296875" customWidth="1"/>
    <col min="3" max="3" width="11.453125" customWidth="1"/>
    <col min="4" max="4" width="11.81640625" customWidth="1"/>
    <col min="5" max="5" width="11.1796875" customWidth="1"/>
    <col min="6" max="6" width="12.1796875" customWidth="1"/>
    <col min="7" max="7" width="13.6328125" customWidth="1"/>
    <col min="8" max="8" width="14.90625" customWidth="1"/>
    <col min="9" max="9" width="15.08984375" customWidth="1"/>
    <col min="10" max="10" width="10" bestFit="1" customWidth="1"/>
    <col min="11" max="11" width="10.81640625" customWidth="1"/>
    <col min="12" max="12" width="12.6328125" customWidth="1"/>
    <col min="13" max="13" width="12.81640625" customWidth="1"/>
    <col min="14" max="14" width="13.1796875" customWidth="1"/>
  </cols>
  <sheetData>
    <row r="1" spans="1:13" ht="21" x14ac:dyDescent="0.5">
      <c r="A1" s="43" t="s">
        <v>172</v>
      </c>
      <c r="F1" s="1"/>
      <c r="G1" s="1"/>
      <c r="H1" s="1"/>
    </row>
    <row r="2" spans="1:13" x14ac:dyDescent="0.35">
      <c r="E2" s="3"/>
      <c r="F2" s="2" t="s">
        <v>18</v>
      </c>
      <c r="G2" s="2"/>
      <c r="H2" s="2"/>
    </row>
    <row r="3" spans="1:13" x14ac:dyDescent="0.35">
      <c r="E3" s="4"/>
      <c r="F3" s="2" t="s">
        <v>19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39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26</v>
      </c>
      <c r="G7" s="1"/>
      <c r="H7" s="1"/>
      <c r="I7" s="1"/>
      <c r="J7" s="1"/>
    </row>
    <row r="8" spans="1:13" x14ac:dyDescent="0.35">
      <c r="C8" s="38" t="s">
        <v>90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86</v>
      </c>
      <c r="C11" t="s">
        <v>28</v>
      </c>
      <c r="D11" s="10"/>
      <c r="E11" s="10"/>
      <c r="F11" s="1" t="s">
        <v>85</v>
      </c>
    </row>
    <row r="12" spans="1:13" x14ac:dyDescent="0.35">
      <c r="A12" s="7" t="s">
        <v>22</v>
      </c>
      <c r="B12" s="3" t="s">
        <v>58</v>
      </c>
      <c r="C12" s="4" t="s">
        <v>23</v>
      </c>
      <c r="D12" s="4" t="s">
        <v>32</v>
      </c>
      <c r="E12" s="41" t="s">
        <v>24</v>
      </c>
      <c r="F12" s="4" t="s">
        <v>27</v>
      </c>
      <c r="G12" s="45" t="s">
        <v>29</v>
      </c>
    </row>
    <row r="13" spans="1:13" x14ac:dyDescent="0.35">
      <c r="B13" s="25">
        <v>0.25</v>
      </c>
      <c r="C13" s="25">
        <f>N29</f>
        <v>0.1295279989936447</v>
      </c>
      <c r="D13" s="25">
        <f>N40</f>
        <v>9.7145999245233511E-2</v>
      </c>
      <c r="E13" s="25">
        <f>C13+D13</f>
        <v>0.22667399823887821</v>
      </c>
      <c r="F13" s="16">
        <f>(B13-E13)/B13*100</f>
        <v>9.3304007044487154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  <c r="H15" s="9"/>
    </row>
    <row r="16" spans="1:13" x14ac:dyDescent="0.35">
      <c r="B16" s="1"/>
    </row>
    <row r="17" spans="1:15" x14ac:dyDescent="0.35">
      <c r="F17" s="1"/>
      <c r="G17" s="1"/>
      <c r="H17" s="1"/>
      <c r="I17" s="29"/>
      <c r="J17" s="26"/>
    </row>
    <row r="19" spans="1:15" x14ac:dyDescent="0.3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t="s">
        <v>84</v>
      </c>
    </row>
    <row r="21" spans="1:15" ht="29" x14ac:dyDescent="0.35">
      <c r="A21" s="7" t="s">
        <v>14</v>
      </c>
      <c r="B21" s="7"/>
      <c r="C21" s="7"/>
      <c r="D21" s="36" t="s">
        <v>43</v>
      </c>
      <c r="E21" s="36" t="s">
        <v>44</v>
      </c>
      <c r="G21" s="36" t="s">
        <v>73</v>
      </c>
      <c r="H21" s="36" t="s">
        <v>33</v>
      </c>
      <c r="I21" s="36" t="s">
        <v>83</v>
      </c>
      <c r="M21" s="31" t="s">
        <v>93</v>
      </c>
      <c r="N21" s="31" t="s">
        <v>92</v>
      </c>
    </row>
    <row r="22" spans="1:15" ht="29" x14ac:dyDescent="0.35">
      <c r="A22" s="22" t="s">
        <v>35</v>
      </c>
      <c r="B22" s="22" t="s">
        <v>50</v>
      </c>
      <c r="C22" s="22" t="s">
        <v>63</v>
      </c>
      <c r="D22" s="30" t="s">
        <v>20</v>
      </c>
      <c r="E22" s="30" t="s">
        <v>20</v>
      </c>
      <c r="F22" s="22" t="s">
        <v>13</v>
      </c>
      <c r="G22" s="30" t="s">
        <v>74</v>
      </c>
      <c r="H22" s="23" t="s">
        <v>0</v>
      </c>
      <c r="I22" s="42" t="s">
        <v>82</v>
      </c>
      <c r="J22" s="37"/>
      <c r="K22" s="34"/>
      <c r="L22" s="34"/>
      <c r="M22" s="24" t="s">
        <v>45</v>
      </c>
      <c r="N22" s="24" t="s">
        <v>46</v>
      </c>
    </row>
    <row r="23" spans="1:15" x14ac:dyDescent="0.35">
      <c r="A23" s="1" t="s">
        <v>34</v>
      </c>
      <c r="B23" s="1" t="s">
        <v>140</v>
      </c>
      <c r="C23" s="1" t="s">
        <v>64</v>
      </c>
      <c r="D23" s="1" t="s">
        <v>65</v>
      </c>
      <c r="E23" s="1">
        <v>0.1</v>
      </c>
      <c r="F23" s="21" t="s">
        <v>8</v>
      </c>
      <c r="G23" s="14" t="s">
        <v>72</v>
      </c>
      <c r="H23" s="25">
        <f>Diff_Amp_Calc!$C$74</f>
        <v>-0.9075907590759158</v>
      </c>
      <c r="I23" s="6">
        <f>E23*H23</f>
        <v>-9.075907590759158E-2</v>
      </c>
      <c r="J23" s="14"/>
      <c r="L23" s="2"/>
      <c r="M23" s="6">
        <f>ABS(I23)</f>
        <v>9.075907590759158E-2</v>
      </c>
      <c r="N23" s="17">
        <f>(I23)^2</f>
        <v>8.2372098595999699E-3</v>
      </c>
      <c r="O23" s="2" t="s">
        <v>8</v>
      </c>
    </row>
    <row r="24" spans="1:15" x14ac:dyDescent="0.35">
      <c r="A24" s="1" t="s">
        <v>34</v>
      </c>
      <c r="B24" s="1" t="s">
        <v>139</v>
      </c>
      <c r="C24" s="1" t="s">
        <v>64</v>
      </c>
      <c r="D24" s="1" t="s">
        <v>65</v>
      </c>
      <c r="E24" s="1">
        <v>0.1</v>
      </c>
      <c r="F24" s="21" t="s">
        <v>8</v>
      </c>
      <c r="G24" s="14" t="s">
        <v>72</v>
      </c>
      <c r="H24" s="25">
        <f>Diff_Amp_Calc!$C$78</f>
        <v>0.91666666666666785</v>
      </c>
      <c r="I24" s="6">
        <f>E24*H24</f>
        <v>9.1666666666666785E-2</v>
      </c>
      <c r="J24" s="14"/>
      <c r="L24" s="2"/>
      <c r="M24" s="6">
        <f>ABS(I24)</f>
        <v>9.1666666666666785E-2</v>
      </c>
      <c r="N24" s="17">
        <f>(I24)^2</f>
        <v>8.4027777777777989E-3</v>
      </c>
      <c r="O24" s="2" t="s">
        <v>8</v>
      </c>
    </row>
    <row r="25" spans="1:15" x14ac:dyDescent="0.35">
      <c r="A25" s="1" t="s">
        <v>34</v>
      </c>
      <c r="B25" s="1" t="s">
        <v>141</v>
      </c>
      <c r="C25" s="1" t="s">
        <v>64</v>
      </c>
      <c r="D25" s="1" t="s">
        <v>65</v>
      </c>
      <c r="E25" s="1">
        <v>0.1</v>
      </c>
      <c r="F25" s="21" t="s">
        <v>8</v>
      </c>
      <c r="G25" s="14" t="s">
        <v>72</v>
      </c>
      <c r="H25" s="25">
        <f>Diff_Amp_Calc!$C$82</f>
        <v>-8.3194675540774199E-2</v>
      </c>
      <c r="I25" s="6">
        <f>E25*H25</f>
        <v>-8.3194675540774199E-3</v>
      </c>
      <c r="J25" s="14"/>
      <c r="L25" s="2"/>
      <c r="M25" s="6">
        <f>ABS(I25)</f>
        <v>8.3194675540774199E-3</v>
      </c>
      <c r="N25" s="17">
        <f>(I25)^2</f>
        <v>6.9213540383346932E-5</v>
      </c>
      <c r="O25" s="2" t="s">
        <v>8</v>
      </c>
    </row>
    <row r="26" spans="1:15" x14ac:dyDescent="0.35">
      <c r="A26" s="1" t="s">
        <v>34</v>
      </c>
      <c r="B26" s="1" t="s">
        <v>142</v>
      </c>
      <c r="C26" s="1" t="s">
        <v>64</v>
      </c>
      <c r="D26" s="1" t="s">
        <v>65</v>
      </c>
      <c r="E26" s="1">
        <v>0.1</v>
      </c>
      <c r="F26" s="21" t="s">
        <v>8</v>
      </c>
      <c r="G26" s="14" t="s">
        <v>72</v>
      </c>
      <c r="H26" s="25">
        <f>Diff_Amp_Calc!$C$86</f>
        <v>8.2644628099171058E-2</v>
      </c>
      <c r="I26" s="6">
        <f>E26*H26</f>
        <v>8.2644628099171058E-3</v>
      </c>
      <c r="J26" s="14"/>
      <c r="L26" s="2"/>
      <c r="M26" s="6">
        <f>ABS(I26)</f>
        <v>8.2644628099171058E-3</v>
      </c>
      <c r="N26" s="17">
        <f>(I26)^2</f>
        <v>6.8301345536502943E-5</v>
      </c>
      <c r="O26" s="2" t="s">
        <v>8</v>
      </c>
    </row>
    <row r="27" spans="1:15" x14ac:dyDescent="0.35">
      <c r="B27" s="1" t="s">
        <v>25</v>
      </c>
    </row>
    <row r="28" spans="1:15" x14ac:dyDescent="0.35">
      <c r="G28" s="1"/>
      <c r="J28" s="1"/>
      <c r="M28" s="39" t="s">
        <v>59</v>
      </c>
      <c r="N28" s="33" t="s">
        <v>60</v>
      </c>
    </row>
    <row r="29" spans="1:15" x14ac:dyDescent="0.35">
      <c r="G29" s="1"/>
      <c r="J29" s="1"/>
      <c r="M29" s="6">
        <f>SUM(M23:M27)</f>
        <v>0.19900967293825289</v>
      </c>
      <c r="N29" s="6">
        <f>SQRT(SUM(N23:N27))</f>
        <v>0.1295279989936447</v>
      </c>
    </row>
    <row r="32" spans="1:15" ht="29" x14ac:dyDescent="0.35">
      <c r="A32" s="7" t="s">
        <v>53</v>
      </c>
      <c r="B32" s="7"/>
      <c r="C32" s="7"/>
      <c r="D32" s="36" t="s">
        <v>43</v>
      </c>
      <c r="E32" s="36" t="s">
        <v>44</v>
      </c>
      <c r="G32" s="36" t="s">
        <v>73</v>
      </c>
      <c r="H32" s="36" t="s">
        <v>33</v>
      </c>
      <c r="I32" s="36" t="s">
        <v>83</v>
      </c>
      <c r="M32" s="31"/>
      <c r="N32" s="31"/>
    </row>
    <row r="33" spans="1:15" ht="29" x14ac:dyDescent="0.35">
      <c r="A33" s="22" t="s">
        <v>35</v>
      </c>
      <c r="B33" s="22" t="s">
        <v>50</v>
      </c>
      <c r="C33" s="22" t="s">
        <v>63</v>
      </c>
      <c r="D33" s="22" t="s">
        <v>20</v>
      </c>
      <c r="E33" s="22" t="s">
        <v>20</v>
      </c>
      <c r="F33" s="22" t="s">
        <v>13</v>
      </c>
      <c r="G33" s="30" t="s">
        <v>74</v>
      </c>
      <c r="H33" s="23" t="s">
        <v>0</v>
      </c>
      <c r="I33" s="42" t="s">
        <v>81</v>
      </c>
      <c r="J33" s="34"/>
      <c r="K33" s="34"/>
      <c r="L33" s="34"/>
      <c r="M33" s="24" t="s">
        <v>45</v>
      </c>
      <c r="N33" s="24" t="s">
        <v>46</v>
      </c>
    </row>
    <row r="34" spans="1:15" x14ac:dyDescent="0.35">
      <c r="A34" s="1" t="s">
        <v>34</v>
      </c>
      <c r="B34" s="1" t="s">
        <v>143</v>
      </c>
      <c r="C34" s="1" t="s">
        <v>64</v>
      </c>
      <c r="D34" s="1" t="s">
        <v>66</v>
      </c>
      <c r="E34" s="1">
        <v>25</v>
      </c>
      <c r="F34" s="21" t="s">
        <v>15</v>
      </c>
      <c r="G34" s="14" t="s">
        <v>72</v>
      </c>
      <c r="H34" s="25">
        <f>Diff_Amp_Calc!$C$74</f>
        <v>-0.9075907590759158</v>
      </c>
      <c r="I34" s="6">
        <f>E34/1000000*$C$9*H34*100</f>
        <v>-6.8069306930693685E-2</v>
      </c>
      <c r="J34" s="14"/>
      <c r="M34" s="6">
        <f>ABS(I34)</f>
        <v>6.8069306930693685E-2</v>
      </c>
      <c r="N34" s="17">
        <f>I34^2</f>
        <v>4.6334305460249831E-3</v>
      </c>
      <c r="O34" s="2" t="s">
        <v>8</v>
      </c>
    </row>
    <row r="35" spans="1:15" x14ac:dyDescent="0.35">
      <c r="A35" s="1" t="s">
        <v>36</v>
      </c>
      <c r="B35" s="1" t="s">
        <v>144</v>
      </c>
      <c r="C35" s="1" t="s">
        <v>64</v>
      </c>
      <c r="D35" s="1" t="s">
        <v>66</v>
      </c>
      <c r="E35" s="1">
        <v>25</v>
      </c>
      <c r="F35" s="21" t="s">
        <v>15</v>
      </c>
      <c r="G35" s="14" t="s">
        <v>72</v>
      </c>
      <c r="H35" s="25">
        <f>Diff_Amp_Calc!$C$78</f>
        <v>0.91666666666666785</v>
      </c>
      <c r="I35" s="6">
        <f>E35/1000000*$C$9*H35*100</f>
        <v>6.8750000000000089E-2</v>
      </c>
      <c r="J35" s="14"/>
      <c r="L35" s="2"/>
      <c r="M35" s="6">
        <f>ABS(I35)</f>
        <v>6.8750000000000089E-2</v>
      </c>
      <c r="N35" s="17">
        <f>I35^2</f>
        <v>4.726562500000012E-3</v>
      </c>
      <c r="O35" s="2" t="s">
        <v>8</v>
      </c>
    </row>
    <row r="36" spans="1:15" x14ac:dyDescent="0.35">
      <c r="A36" s="1" t="s">
        <v>34</v>
      </c>
      <c r="B36" s="1" t="s">
        <v>145</v>
      </c>
      <c r="C36" s="1" t="s">
        <v>64</v>
      </c>
      <c r="D36" s="1" t="s">
        <v>66</v>
      </c>
      <c r="E36" s="1">
        <v>25</v>
      </c>
      <c r="F36" s="21" t="s">
        <v>15</v>
      </c>
      <c r="G36" s="14" t="s">
        <v>72</v>
      </c>
      <c r="H36" s="25">
        <f>Diff_Amp_Calc!$C$82</f>
        <v>-8.3194675540774199E-2</v>
      </c>
      <c r="I36" s="6">
        <f>E36/1000000*$C$9*H36*100</f>
        <v>-6.2396006655580649E-3</v>
      </c>
      <c r="J36" s="14"/>
      <c r="M36" s="6">
        <f>ABS(I36)</f>
        <v>6.2396006655580649E-3</v>
      </c>
      <c r="N36" s="17">
        <f>I36^2</f>
        <v>3.8932616465632643E-5</v>
      </c>
      <c r="O36" s="2" t="s">
        <v>8</v>
      </c>
    </row>
    <row r="37" spans="1:15" x14ac:dyDescent="0.35">
      <c r="A37" s="1" t="s">
        <v>36</v>
      </c>
      <c r="B37" s="1" t="s">
        <v>146</v>
      </c>
      <c r="C37" s="1" t="s">
        <v>64</v>
      </c>
      <c r="D37" s="1" t="s">
        <v>66</v>
      </c>
      <c r="E37" s="1">
        <v>25</v>
      </c>
      <c r="F37" s="21" t="s">
        <v>15</v>
      </c>
      <c r="G37" s="14" t="s">
        <v>72</v>
      </c>
      <c r="H37" s="25">
        <f>Diff_Amp_Calc!$C$86</f>
        <v>8.2644628099171058E-2</v>
      </c>
      <c r="I37" s="6">
        <f>E37/1000000*$C$9*H37*100</f>
        <v>6.1983471074378294E-3</v>
      </c>
      <c r="J37" s="14"/>
      <c r="L37" s="2"/>
      <c r="M37" s="6">
        <f>ABS(I37)</f>
        <v>6.1983471074378294E-3</v>
      </c>
      <c r="N37" s="17">
        <f>I37^2</f>
        <v>3.8419506864282905E-5</v>
      </c>
      <c r="O37" s="2" t="s">
        <v>8</v>
      </c>
    </row>
    <row r="38" spans="1:15" x14ac:dyDescent="0.35">
      <c r="B38" s="1" t="s">
        <v>25</v>
      </c>
    </row>
    <row r="39" spans="1:15" x14ac:dyDescent="0.35">
      <c r="G39" s="1"/>
      <c r="H39" s="1"/>
      <c r="I39" s="1"/>
      <c r="M39" s="39" t="s">
        <v>59</v>
      </c>
      <c r="N39" s="33" t="s">
        <v>60</v>
      </c>
    </row>
    <row r="40" spans="1:15" x14ac:dyDescent="0.35">
      <c r="G40" s="1"/>
      <c r="H40" s="1"/>
      <c r="I40" s="1"/>
      <c r="M40" s="6">
        <f>SUM(M34:M38)</f>
        <v>0.14925725470368967</v>
      </c>
      <c r="N40" s="6">
        <f>SQRT(SUM(N34:N38))</f>
        <v>9.7145999245233511E-2</v>
      </c>
    </row>
  </sheetData>
  <conditionalFormatting sqref="G13">
    <cfRule type="containsText" dxfId="3" priority="1" operator="containsText" text="FAIL">
      <formula>NOT(ISERROR(SEARCH("FAIL",G13)))</formula>
    </cfRule>
    <cfRule type="containsText" dxfId="2" priority="2" operator="containsText" text="PASS">
      <formula>NOT(ISERROR(SEARCH("PASS",G13)))</formula>
    </cfRule>
  </conditionalFormatting>
  <conditionalFormatting sqref="H15">
    <cfRule type="containsText" dxfId="1" priority="9" operator="containsText" text="FAIL">
      <formula>NOT(ISERROR(SEARCH("FAIL",H15)))</formula>
    </cfRule>
    <cfRule type="containsText" dxfId="0" priority="10" operator="containsText" text="PASS">
      <formula>NOT(ISERROR(SEARCH("PASS",H15)))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Props1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Diff_Amp_Calc</vt:lpstr>
      <vt:lpstr>Offset Errors</vt:lpstr>
      <vt:lpstr>Gain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2025-06-03T13:59:54Z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