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2878A7CD-87DF-4AF9-8DF5-E9C21719330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mp1_Calc" sheetId="8" r:id="rId1"/>
    <sheet name="ADC Calc" sheetId="11" r:id="rId2"/>
    <sheet name="Offset Errors" sheetId="9" r:id="rId3"/>
    <sheet name="Gain Errors" sheetId="10" r:id="rId4"/>
  </sheets>
  <calcPr calcId="191029"/>
</workbook>
</file>

<file path=xl/calcChain.xml><?xml version="1.0" encoding="utf-8"?>
<calcChain xmlns="http://schemas.openxmlformats.org/spreadsheetml/2006/main">
  <c r="H34" i="10" l="1"/>
  <c r="H25" i="10"/>
  <c r="E25" i="10"/>
  <c r="C42" i="11"/>
  <c r="C41" i="11"/>
  <c r="C16" i="11"/>
  <c r="C19" i="11" s="1"/>
  <c r="C43" i="11" l="1"/>
  <c r="E34" i="10" l="1"/>
  <c r="C12" i="11"/>
  <c r="E37" i="9" s="1"/>
  <c r="E26" i="9"/>
  <c r="H26" i="9"/>
  <c r="H38" i="9"/>
  <c r="H37" i="9"/>
  <c r="C11" i="11"/>
  <c r="E36" i="9" l="1"/>
  <c r="E38" i="9"/>
  <c r="I38" i="9"/>
  <c r="I37" i="9"/>
  <c r="I34" i="10" l="1"/>
  <c r="I25" i="10"/>
  <c r="H26" i="10"/>
  <c r="I26" i="10" s="1"/>
  <c r="H35" i="10"/>
  <c r="I35" i="10" s="1"/>
  <c r="I26" i="9" l="1"/>
  <c r="H36" i="9"/>
  <c r="I36" i="9" s="1"/>
  <c r="N34" i="10"/>
  <c r="M34" i="10"/>
  <c r="M25" i="10"/>
  <c r="N25" i="10"/>
  <c r="N35" i="10"/>
  <c r="M35" i="10"/>
  <c r="N26" i="10"/>
  <c r="M26" i="10"/>
  <c r="C29" i="8"/>
  <c r="H25" i="9" s="1"/>
  <c r="I25" i="9" s="1"/>
  <c r="C15" i="8"/>
  <c r="C40" i="8"/>
  <c r="C39" i="8"/>
  <c r="C36" i="8"/>
  <c r="C35" i="8"/>
  <c r="C27" i="8" l="1"/>
  <c r="H34" i="9" s="1"/>
  <c r="I34" i="9" s="1"/>
  <c r="J35" i="9"/>
  <c r="J34" i="9"/>
  <c r="J36" i="9"/>
  <c r="J37" i="9"/>
  <c r="K37" i="9" s="1"/>
  <c r="J38" i="9"/>
  <c r="K38" i="9" s="1"/>
  <c r="J25" i="9"/>
  <c r="K25" i="9" s="1"/>
  <c r="J24" i="9"/>
  <c r="J26" i="9"/>
  <c r="K36" i="9"/>
  <c r="N36" i="9" s="1"/>
  <c r="K26" i="9"/>
  <c r="M26" i="9" s="1"/>
  <c r="C18" i="8"/>
  <c r="H35" i="9"/>
  <c r="I35" i="9" s="1"/>
  <c r="C37" i="8"/>
  <c r="C41" i="8"/>
  <c r="C25" i="8"/>
  <c r="K34" i="9"/>
  <c r="J33" i="9"/>
  <c r="J23" i="9"/>
  <c r="H24" i="9"/>
  <c r="I24" i="9" s="1"/>
  <c r="N26" i="9" l="1"/>
  <c r="M36" i="9"/>
  <c r="N38" i="9"/>
  <c r="M38" i="9"/>
  <c r="N37" i="9"/>
  <c r="M37" i="9"/>
  <c r="K24" i="9"/>
  <c r="M24" i="9" s="1"/>
  <c r="K35" i="9"/>
  <c r="M35" i="9" s="1"/>
  <c r="N25" i="9"/>
  <c r="M25" i="9"/>
  <c r="N34" i="9"/>
  <c r="M34" i="9"/>
  <c r="H33" i="9"/>
  <c r="I33" i="9" s="1"/>
  <c r="K33" i="9" s="1"/>
  <c r="M33" i="9" s="1"/>
  <c r="H23" i="9"/>
  <c r="I23" i="9" s="1"/>
  <c r="K23" i="9" s="1"/>
  <c r="H32" i="10"/>
  <c r="I32" i="10" s="1"/>
  <c r="H23" i="10"/>
  <c r="I23" i="10" s="1"/>
  <c r="H33" i="10"/>
  <c r="I33" i="10" s="1"/>
  <c r="H24" i="10"/>
  <c r="I24" i="10" s="1"/>
  <c r="N24" i="9" l="1"/>
  <c r="N35" i="9"/>
  <c r="M41" i="9"/>
  <c r="D13" i="9" s="1"/>
  <c r="N33" i="9"/>
  <c r="N24" i="10"/>
  <c r="M24" i="10"/>
  <c r="N33" i="10"/>
  <c r="M33" i="10"/>
  <c r="N23" i="10"/>
  <c r="N29" i="10" s="1"/>
  <c r="M23" i="10"/>
  <c r="M29" i="10" s="1"/>
  <c r="N32" i="10"/>
  <c r="M32" i="10"/>
  <c r="M38" i="10" s="1"/>
  <c r="N23" i="9"/>
  <c r="N29" i="9" s="1"/>
  <c r="M23" i="9"/>
  <c r="N38" i="10" l="1"/>
  <c r="C13" i="10"/>
  <c r="N41" i="9"/>
  <c r="M29" i="9"/>
  <c r="C13" i="9" s="1"/>
  <c r="E13" i="9" s="1"/>
  <c r="F13" i="9" s="1"/>
  <c r="G13" i="9" s="1"/>
  <c r="D13" i="10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6" authorId="0" shapeId="0" xr:uid="{88E97CA2-400F-48E6-9F4B-F41EBB7B1B04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Vlsb (from ADC Calc sheet)
  err_V = err_LSB * Vlsb</t>
        </r>
      </text>
    </comment>
    <comment ref="B27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2" authorId="0" shapeId="0" xr:uid="{C52C09C4-C81D-47CA-BB28-D2F111DCD6AB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6" authorId="0" shapeId="0" xr:uid="{E05769A0-1D43-49EC-8059-66A3E0F4F68A}">
      <text>
        <r>
          <rPr>
            <sz val="9"/>
            <color indexed="81"/>
            <rFont val="Tahoma"/>
            <family val="2"/>
          </rPr>
          <t>Error often spec'd in output LSBs (per C).
Enter LSBs into formula that converts output LSB to input V by Vres (from ADC Calc sheet)
  err_V = err_LSB * Vlsb</t>
        </r>
      </text>
    </comment>
    <comment ref="E37" authorId="0" shapeId="0" xr:uid="{676B1D6A-4900-4E92-AE49-F5899CF6BC5C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E38" authorId="0" shapeId="0" xr:uid="{75AC7DFD-1780-4032-8D8E-D4A7A610C4DF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B39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40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40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3C8DB43C-89BA-4185-A21F-F1BA5671BF1B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1F1CA1D2-25A9-482F-8008-5ED8C2E53D71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5" authorId="0" shapeId="0" xr:uid="{E50D9FC5-EE99-4FF6-B7CD-A0B834562D69}">
      <text>
        <r>
          <rPr>
            <sz val="9"/>
            <color indexed="81"/>
            <rFont val="Tahoma"/>
            <family val="2"/>
          </rPr>
          <t>Error often spec'd in output LSB
Enter LSB into formula that converts LSB to % using N bits (from ADC Calc sheet).
  err_% = err_LSB / (2^N)*100%</t>
        </r>
      </text>
    </comment>
    <comment ref="B27" authorId="0" shapeId="0" xr:uid="{04DF4B6A-D2D7-403D-A9A8-5894F1C687F5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4" authorId="0" shapeId="0" xr:uid="{ACC98D57-B341-40ED-A50E-7C4579D1EDB5}">
      <text>
        <r>
          <rPr>
            <sz val="9"/>
            <color indexed="81"/>
            <rFont val="Tahoma"/>
            <family val="2"/>
          </rPr>
          <t>Error often spec'd in output LSB (per C) 
Enter LSB into formula that converts LSB to ppm using N bits (from ADC Calc sheet).
 ppm_err = LSB_err/(2^N)*1e6</t>
        </r>
      </text>
    </comment>
    <comment ref="B36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7" authorId="0" shapeId="0" xr:uid="{9F9A46B0-A302-4FF8-A6D6-457FF32A941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7" authorId="0" shapeId="0" xr:uid="{8B983ADE-2AEC-493B-A609-16097AB27CF7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<sst xmlns="http://schemas.openxmlformats.org/spreadsheetml/2006/main" count="377" uniqueCount="182">
  <si>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</si>
  <si>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</si>
  <si>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</si>
  <si>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</si>
  <si>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</si>
  <si>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</si>
  <si>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</si>
  <si>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</si>
  <si>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</si>
  <si>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</si>
  <si>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</si>
  <si>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</si>
  <si>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</si>
  <si>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</si>
  <si>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</si>
  <si>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</si>
  <si>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</si>
  <si>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</si>
  <si>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</si>
  <si>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</si>
  <si>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</si>
  <si>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</si>
  <si>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</si>
  <si>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</si>
  <si>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</si>
  <si>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</si>
  <si>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</si>
  <si>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</si>
  <si>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</si>
  <si>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</si>
  <si>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</si>
  <si>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</si>
  <si>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</si>
  <si>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</si>
  <si>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</si>
  <si>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</si>
  <si>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</si>
  <si>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</si>
  <si>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</si>
  <si>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</si>
  <si>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</si>
  <si>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>R2/R1+1</t>
  </si>
  <si>
    <t xml:space="preserve">((K'-K)/K) / 0.01 </t>
  </si>
  <si>
    <t>Output Node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</si>
  <si>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</si>
  <si>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</si>
  <si>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</si>
  <si>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</si>
  <si>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</si>
  <si>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</si>
  <si>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</si>
  <si>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</si>
  <si>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</si>
  <si>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Input Node</t>
  </si>
  <si>
    <t>S   (How does each error source contribute to a signal Gain error)</t>
  </si>
  <si>
    <t>Offset Error RTI</t>
  </si>
  <si>
    <t>Components</t>
  </si>
  <si>
    <t>Name</t>
  </si>
  <si>
    <t>vin_FS</t>
  </si>
  <si>
    <t>abs(ΔVoffset_rti)</t>
  </si>
  <si>
    <t>Δvoffset_rti^2</t>
  </si>
  <si>
    <t>Drift Errors</t>
  </si>
  <si>
    <t>in</t>
  </si>
  <si>
    <t>out</t>
  </si>
  <si>
    <t>U1 voff</t>
  </si>
  <si>
    <t>U1 ibn</t>
  </si>
  <si>
    <t>U1 ibp</t>
  </si>
  <si>
    <t>R2/(R1*1.01)+1</t>
  </si>
  <si>
    <t>(R2*1.01)/R1+1</t>
  </si>
  <si>
    <t xml:space="preserve">                 Similarly, a 0.1% change in R causes a 0.05% change in the K.</t>
  </si>
  <si>
    <t xml:space="preserve">   Error Budget Results</t>
  </si>
  <si>
    <t>Full-Scale Signals</t>
  </si>
  <si>
    <t>Spec Error (V)</t>
  </si>
  <si>
    <t>Spec Error (%)</t>
  </si>
  <si>
    <t>WCA Total</t>
  </si>
  <si>
    <t>RSS Total</t>
  </si>
  <si>
    <t>S = vo / voff = K</t>
  </si>
  <si>
    <t>S = vo / ibp = Rs*K</t>
  </si>
  <si>
    <t>S = vo / ibn = -R2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</si>
  <si>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</si>
  <si>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</si>
  <si>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</si>
  <si>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</si>
  <si>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</si>
  <si>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</si>
  <si>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</si>
  <si>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</si>
  <si>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</si>
  <si>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U1 voff TC</t>
  </si>
  <si>
    <t>U1 ibp TC</t>
  </si>
  <si>
    <t>U1 ibn TC</t>
  </si>
  <si>
    <t>voff_TC</t>
  </si>
  <si>
    <t>S, Analysis Node</t>
  </si>
  <si>
    <t>S, vo</t>
  </si>
  <si>
    <t>vo</t>
  </si>
  <si>
    <t>vo/vin = R2/R1 + 1</t>
  </si>
  <si>
    <t>vo_FS</t>
  </si>
  <si>
    <t>vin</t>
  </si>
  <si>
    <t>vo_FS = vin_FS * K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</si>
  <si>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</si>
  <si>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</si>
  <si>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</si>
  <si>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</si>
  <si>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</si>
  <si>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</si>
  <si>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</si>
  <si>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</si>
  <si>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</si>
  <si>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</si>
  <si>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</si>
  <si>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</si>
  <si>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</si>
  <si>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</si>
  <si>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</si>
  <si>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</si>
  <si>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</si>
  <si>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t>Offset Errors</t>
  </si>
  <si>
    <t>Gain Errors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</si>
  <si>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</si>
  <si>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ibp</t>
  </si>
  <si>
    <t>ibn</t>
  </si>
  <si>
    <t>ibp_TC</t>
  </si>
  <si>
    <t>ibn_TC</t>
  </si>
  <si>
    <t>OP001</t>
  </si>
  <si>
    <t>Root Sum Square</t>
  </si>
  <si>
    <t>Worst Case Analysis</t>
  </si>
  <si>
    <t>Max input signal</t>
  </si>
  <si>
    <t>Circuit Calc - ADC</t>
  </si>
  <si>
    <t>Components &amp; Parameters</t>
  </si>
  <si>
    <t>ADC</t>
  </si>
  <si>
    <t>Reference</t>
  </si>
  <si>
    <t>Vref</t>
  </si>
  <si>
    <t>Resolution (Bits)</t>
  </si>
  <si>
    <t>N</t>
  </si>
  <si>
    <t>ADCword</t>
  </si>
  <si>
    <t>2^N-1</t>
  </si>
  <si>
    <t>vout</t>
  </si>
  <si>
    <t>S, vadc</t>
  </si>
  <si>
    <t>U1 Vres</t>
  </si>
  <si>
    <t>U1 Vinl</t>
  </si>
  <si>
    <t>U1 Gain err</t>
  </si>
  <si>
    <t>vadc</t>
  </si>
  <si>
    <t>U2, ADC, INL</t>
  </si>
  <si>
    <t>U2, ADC, Res</t>
  </si>
  <si>
    <t>AD001</t>
  </si>
  <si>
    <t>U2 voff</t>
  </si>
  <si>
    <t>U2 Vref Tol</t>
  </si>
  <si>
    <t>U2, ADC, Tol</t>
  </si>
  <si>
    <t>U2, ADC, Gain TC</t>
  </si>
  <si>
    <t>U3, VREF, Gain TC</t>
  </si>
  <si>
    <t>vo1</t>
  </si>
  <si>
    <t>ADCword_max</t>
  </si>
  <si>
    <t>Kadc = ADCword_max / Vref</t>
  </si>
  <si>
    <t>Kadc (Vref*1.01)</t>
  </si>
  <si>
    <t xml:space="preserve">K' is the gain with a 1% change to calc S. </t>
  </si>
  <si>
    <t>Max counts</t>
  </si>
  <si>
    <t>S   (How does each error source contribute to the Analysis Node)</t>
  </si>
  <si>
    <t>Amp1</t>
  </si>
  <si>
    <t>Circuit Calc - Amp1</t>
  </si>
  <si>
    <t>U2, ADC, voff_TC</t>
  </si>
  <si>
    <t xml:space="preserve">Vref/2^N </t>
  </si>
  <si>
    <t>Input V</t>
  </si>
  <si>
    <t>ADCword = vadc* (2^N-1) / Vref</t>
  </si>
  <si>
    <t>Analog In</t>
  </si>
  <si>
    <t>Digital Out</t>
  </si>
  <si>
    <t xml:space="preserve">Resolution </t>
  </si>
  <si>
    <t>Gain</t>
  </si>
  <si>
    <t>Kadc (LSB/V)</t>
  </si>
  <si>
    <t>Vlsb (V/LSB)</t>
  </si>
  <si>
    <t>Kadc = ADCword_max/vadc = (2^N-1) / Vref</t>
  </si>
  <si>
    <t>Rs</t>
  </si>
  <si>
    <t>Res</t>
  </si>
  <si>
    <t>INL</t>
  </si>
  <si>
    <t>U3, Vref, Tol</t>
  </si>
  <si>
    <t>S = 1, errors drectly in series with vadc</t>
  </si>
  <si>
    <t>(analog, 0 to Vref)</t>
  </si>
  <si>
    <t>(digital, 0 to 2^N-1)</t>
  </si>
  <si>
    <t>Kadc directy defines gain of block, therefore S=1</t>
  </si>
  <si>
    <t>Gain TC</t>
  </si>
  <si>
    <t>Vref TC</t>
  </si>
  <si>
    <t>Gain Tol</t>
  </si>
  <si>
    <t>Vref 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</si>
</sst>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27-4419-92AE-775585F057E5}"/>
              </c:ext>
            </c:extLst>
          </c:dPt>
          <c:cat>
            <c:strRef>
              <c:f>'Offset Errors'!$B$23:$B$27</c:f>
              <c:strCache>
                <c:ptCount val="5"/>
                <c:pt idx="0">
                  <c:v>U1 voff</c:v>
                </c:pt>
                <c:pt idx="1">
                  <c:v>U1 ibp</c:v>
                </c:pt>
                <c:pt idx="2">
                  <c:v>U1 ibn</c:v>
                </c:pt>
                <c:pt idx="3">
                  <c:v>U2 voff</c:v>
                </c:pt>
                <c:pt idx="4">
                  <c:v>end</c:v>
                </c:pt>
              </c:strCache>
            </c:strRef>
          </c:cat>
          <c:val>
            <c:numRef>
              <c:f>'Offset Errors'!$M$23:$M$27</c:f>
              <c:numCache>
                <c:formatCode>0.000000</c:formatCode>
                <c:ptCount val="5"/>
                <c:pt idx="0">
                  <c:v>1E-4</c:v>
                </c:pt>
                <c:pt idx="1">
                  <c:v>5.0000000000000004E-6</c:v>
                </c:pt>
                <c:pt idx="2">
                  <c:v>8.0000000000000007E-5</c:v>
                </c:pt>
                <c:pt idx="3">
                  <c:v>7.326007326007326E-4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449726614054462"/>
          <c:y val="0.21095618708461406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38-48A3-BB59-0101343A6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38-48A3-BB59-0101343A6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138-48A3-BB59-0101343A6B51}"/>
              </c:ext>
            </c:extLst>
          </c:dPt>
          <c:cat>
            <c:strRef>
              <c:f>'Offset Errors'!$B$33:$B$39</c:f>
              <c:strCache>
                <c:ptCount val="7"/>
                <c:pt idx="0">
                  <c:v>U1 voff TC</c:v>
                </c:pt>
                <c:pt idx="1">
                  <c:v>U1 ibp TC</c:v>
                </c:pt>
                <c:pt idx="2">
                  <c:v>U1 ibn TC</c:v>
                </c:pt>
                <c:pt idx="3">
                  <c:v>U2, ADC, voff_TC</c:v>
                </c:pt>
                <c:pt idx="4">
                  <c:v>U2, ADC, Res</c:v>
                </c:pt>
                <c:pt idx="5">
                  <c:v>U2, ADC, INL</c:v>
                </c:pt>
                <c:pt idx="6">
                  <c:v>end</c:v>
                </c:pt>
              </c:strCache>
            </c:strRef>
          </c:cat>
          <c:val>
            <c:numRef>
              <c:f>'Offset Errors'!$M$33:$M$39</c:f>
              <c:numCache>
                <c:formatCode>0.000000</c:formatCode>
                <c:ptCount val="7"/>
                <c:pt idx="0">
                  <c:v>3.0000000000000003E-4</c:v>
                </c:pt>
                <c:pt idx="1">
                  <c:v>1.5000000000000002E-5</c:v>
                </c:pt>
                <c:pt idx="2">
                  <c:v>2.4000000000000003E-4</c:v>
                </c:pt>
                <c:pt idx="3">
                  <c:v>2.9296874999999999E-4</c:v>
                </c:pt>
                <c:pt idx="4">
                  <c:v>1.220703125E-4</c:v>
                </c:pt>
                <c:pt idx="5">
                  <c:v>2.44140625E-4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7618951801368594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AD-4A2F-8095-9441D0A684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AD-4A2F-8095-9441D0A684C9}"/>
              </c:ext>
            </c:extLst>
          </c:dPt>
          <c:cat>
            <c:strRef>
              <c:f>'Gain Errors'!$B$23:$B$27</c:f>
              <c:strCache>
                <c:ptCount val="5"/>
                <c:pt idx="0">
                  <c:v>R2 Tol</c:v>
                </c:pt>
                <c:pt idx="1">
                  <c:v>R1 Tol</c:v>
                </c:pt>
                <c:pt idx="2">
                  <c:v>U2, ADC, Tol</c:v>
                </c:pt>
                <c:pt idx="3">
                  <c:v>U3, Vref, Tol</c:v>
                </c:pt>
                <c:pt idx="4">
                  <c:v>end</c:v>
                </c:pt>
              </c:strCache>
            </c:strRef>
          </c:cat>
          <c:val>
            <c:numRef>
              <c:f>'Gain Errors'!$M$23:$M$27</c:f>
              <c:numCache>
                <c:formatCode>0.000</c:formatCode>
                <c:ptCount val="5"/>
                <c:pt idx="0">
                  <c:v>8.0000000000000071E-2</c:v>
                </c:pt>
                <c:pt idx="1">
                  <c:v>7.9207920792079278E-2</c:v>
                </c:pt>
                <c:pt idx="2">
                  <c:v>4.8828125E-2</c:v>
                </c:pt>
                <c:pt idx="3">
                  <c:v>0.49504950495049255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801632846485571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773859084125371"/>
          <c:y val="0.20520791165441404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Errors'!$M$31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EF-48C7-A01D-FA670F13E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EF-48C7-A01D-FA670F13E11D}"/>
              </c:ext>
            </c:extLst>
          </c:dPt>
          <c:cat>
            <c:strRef>
              <c:f>'Gain Errors'!$B$32:$B$36</c:f>
              <c:strCache>
                <c:ptCount val="5"/>
                <c:pt idx="0">
                  <c:v>R2 TC</c:v>
                </c:pt>
                <c:pt idx="1">
                  <c:v>R1 TC</c:v>
                </c:pt>
                <c:pt idx="2">
                  <c:v>U2, ADC, Gain TC</c:v>
                </c:pt>
                <c:pt idx="3">
                  <c:v>U3, VREF, Gain TC</c:v>
                </c:pt>
                <c:pt idx="4">
                  <c:v>end</c:v>
                </c:pt>
              </c:strCache>
            </c:strRef>
          </c:cat>
          <c:val>
            <c:numRef>
              <c:f>'Gain Errors'!$M$32:$M$36</c:f>
              <c:numCache>
                <c:formatCode>0.000</c:formatCode>
                <c:ptCount val="5"/>
                <c:pt idx="0">
                  <c:v>0.24000000000000024</c:v>
                </c:pt>
                <c:pt idx="1">
                  <c:v>0.23762376237623783</c:v>
                </c:pt>
                <c:pt idx="2">
                  <c:v>5.859375E-2</c:v>
                </c:pt>
                <c:pt idx="3">
                  <c:v>0.14851485148514776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9167826565077368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101185</xdr:colOff>
      <xdr:row>5</xdr:row>
      <xdr:rowOff>81643</xdr:rowOff>
    </xdr:from>
    <xdr:to>
      <xdr:col>10</xdr:col>
      <xdr:colOff>256693</xdr:colOff>
      <xdr:row>16</xdr:row>
      <xdr:rowOff>178829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841F44-7D22-572B-EA0F-885F6E68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1185" y="1124857"/>
          <a:ext cx="3557294" cy="2092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806823</xdr:colOff>
      <xdr:row>3</xdr:row>
      <xdr:rowOff>44823</xdr:rowOff>
    </xdr:from>
    <xdr:to>
      <xdr:col>13</xdr:col>
      <xdr:colOff>27800</xdr:colOff>
      <xdr:row>14</xdr:row>
      <xdr:rowOff>161078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BD9D16-B6F5-4957-B1EF-6E7FAD38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2658" y="690282"/>
          <a:ext cx="4420507" cy="2088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7"/>
  <sheetViews>
    <sheetView zoomScale="85" zoomScaleNormal="85" workbookViewId="0">
      <selection activeCell="C14" sqref="C14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158</v>
      </c>
      <c r="F1" s="1"/>
    </row>
    <row r="2" spans="1:8" ht="15.5" x14ac:dyDescent="0.35">
      <c r="A2" s="46" t="s">
        <v>115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80</v>
      </c>
      <c r="B5" s="5"/>
      <c r="C5" s="5"/>
      <c r="D5" s="5"/>
      <c r="E5" s="5"/>
    </row>
    <row r="7" spans="1:8" x14ac:dyDescent="0.35">
      <c r="A7" t="s">
        <v>56</v>
      </c>
      <c r="B7" s="3" t="s">
        <v>1</v>
      </c>
      <c r="C7" s="1">
        <v>10000</v>
      </c>
      <c r="D7" t="s">
        <v>10</v>
      </c>
    </row>
    <row r="8" spans="1:8" x14ac:dyDescent="0.35">
      <c r="B8" s="3" t="s">
        <v>2</v>
      </c>
      <c r="C8" s="1">
        <v>40000</v>
      </c>
      <c r="D8" t="s">
        <v>10</v>
      </c>
    </row>
    <row r="10" spans="1:8" x14ac:dyDescent="0.35">
      <c r="B10" s="3" t="s">
        <v>170</v>
      </c>
      <c r="C10" s="1">
        <v>500</v>
      </c>
      <c r="D10" t="s">
        <v>10</v>
      </c>
    </row>
    <row r="12" spans="1:8" x14ac:dyDescent="0.35">
      <c r="A12" t="s">
        <v>53</v>
      </c>
      <c r="B12" s="3" t="s">
        <v>62</v>
      </c>
      <c r="C12" s="1" t="s">
        <v>97</v>
      </c>
    </row>
    <row r="13" spans="1:8" x14ac:dyDescent="0.35">
      <c r="A13" t="s">
        <v>43</v>
      </c>
      <c r="B13" s="3" t="s">
        <v>63</v>
      </c>
      <c r="C13" s="1" t="s">
        <v>150</v>
      </c>
    </row>
    <row r="15" spans="1:8" x14ac:dyDescent="0.35">
      <c r="A15" t="s">
        <v>6</v>
      </c>
      <c r="B15" s="4" t="s">
        <v>3</v>
      </c>
      <c r="C15" s="6">
        <f>$C$8/$C$7+1</f>
        <v>5</v>
      </c>
      <c r="D15" t="s">
        <v>95</v>
      </c>
    </row>
    <row r="17" spans="1:10" x14ac:dyDescent="0.35">
      <c r="A17" t="s">
        <v>71</v>
      </c>
      <c r="B17" s="3" t="s">
        <v>58</v>
      </c>
      <c r="C17" s="10">
        <v>1</v>
      </c>
      <c r="D17" s="19" t="s">
        <v>126</v>
      </c>
    </row>
    <row r="18" spans="1:10" x14ac:dyDescent="0.35">
      <c r="B18" s="4" t="s">
        <v>96</v>
      </c>
      <c r="C18" s="10">
        <f>C17*C15</f>
        <v>5</v>
      </c>
      <c r="D18" t="s">
        <v>98</v>
      </c>
    </row>
    <row r="21" spans="1:10" x14ac:dyDescent="0.35">
      <c r="A21" s="15" t="s">
        <v>46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5">
      <c r="A22" t="s">
        <v>114</v>
      </c>
      <c r="B22" s="9"/>
      <c r="E22" s="9"/>
    </row>
    <row r="23" spans="1:10" x14ac:dyDescent="0.35">
      <c r="A23" s="7"/>
      <c r="B23" s="9"/>
      <c r="E23" s="9"/>
    </row>
    <row r="24" spans="1:10" x14ac:dyDescent="0.35">
      <c r="A24" s="8"/>
      <c r="B24" t="s">
        <v>92</v>
      </c>
    </row>
    <row r="25" spans="1:10" x14ac:dyDescent="0.35">
      <c r="A25" s="11" t="s">
        <v>64</v>
      </c>
      <c r="B25" s="4" t="s">
        <v>93</v>
      </c>
      <c r="C25" s="10">
        <f>$C$15</f>
        <v>5</v>
      </c>
      <c r="D25" s="2" t="s">
        <v>76</v>
      </c>
    </row>
    <row r="26" spans="1:10" x14ac:dyDescent="0.35">
      <c r="A26" s="11"/>
      <c r="C26" s="10"/>
    </row>
    <row r="27" spans="1:10" x14ac:dyDescent="0.35">
      <c r="A27" s="11" t="s">
        <v>66</v>
      </c>
      <c r="B27" s="4" t="s">
        <v>93</v>
      </c>
      <c r="C27" s="16">
        <f>C10*C15</f>
        <v>2500</v>
      </c>
      <c r="D27" s="2" t="s">
        <v>77</v>
      </c>
    </row>
    <row r="28" spans="1:10" x14ac:dyDescent="0.35">
      <c r="A28" s="11"/>
      <c r="C28" s="10"/>
      <c r="D28" s="2"/>
    </row>
    <row r="29" spans="1:10" x14ac:dyDescent="0.35">
      <c r="A29" s="11" t="s">
        <v>65</v>
      </c>
      <c r="B29" s="4" t="s">
        <v>93</v>
      </c>
      <c r="C29" s="16">
        <f>-$C$8</f>
        <v>-40000</v>
      </c>
      <c r="D29" s="2" t="s">
        <v>78</v>
      </c>
    </row>
    <row r="30" spans="1:10" x14ac:dyDescent="0.35">
      <c r="A30" s="11"/>
      <c r="C30" s="10"/>
      <c r="D30" s="2"/>
    </row>
    <row r="31" spans="1:10" x14ac:dyDescent="0.35">
      <c r="A31" s="8"/>
      <c r="D31" s="2"/>
    </row>
    <row r="32" spans="1:10" x14ac:dyDescent="0.35">
      <c r="A32" s="15" t="s">
        <v>47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6" x14ac:dyDescent="0.35">
      <c r="A33" t="s">
        <v>54</v>
      </c>
      <c r="B33" s="9"/>
      <c r="E33" s="9"/>
    </row>
    <row r="34" spans="1:6" x14ac:dyDescent="0.35">
      <c r="A34" s="12"/>
      <c r="B34" s="1"/>
      <c r="D34" s="1"/>
      <c r="E34" s="11"/>
    </row>
    <row r="35" spans="1:6" x14ac:dyDescent="0.35">
      <c r="A35" s="11" t="s">
        <v>1</v>
      </c>
      <c r="B35" s="4" t="s">
        <v>3</v>
      </c>
      <c r="C35" s="25">
        <f>$C$8/$C$7+1</f>
        <v>5</v>
      </c>
      <c r="D35" t="s">
        <v>41</v>
      </c>
      <c r="F35" s="13" t="s">
        <v>11</v>
      </c>
    </row>
    <row r="36" spans="1:6" x14ac:dyDescent="0.35">
      <c r="A36" s="8"/>
      <c r="B36" s="4" t="s">
        <v>4</v>
      </c>
      <c r="C36" s="25">
        <f>$C$8/($C$7*1.01)+1</f>
        <v>4.9603960396039604</v>
      </c>
      <c r="D36" t="s">
        <v>67</v>
      </c>
      <c r="F36" s="13" t="s">
        <v>79</v>
      </c>
    </row>
    <row r="37" spans="1:6" x14ac:dyDescent="0.35">
      <c r="A37" s="8"/>
      <c r="B37" s="4" t="s">
        <v>0</v>
      </c>
      <c r="C37" s="25">
        <f>((C36-C35)/C35)/0.01</f>
        <v>-0.79207920792079278</v>
      </c>
      <c r="D37" s="2" t="s">
        <v>42</v>
      </c>
      <c r="F37" t="s">
        <v>12</v>
      </c>
    </row>
    <row r="39" spans="1:6" x14ac:dyDescent="0.35">
      <c r="A39" s="11" t="s">
        <v>2</v>
      </c>
      <c r="B39" s="4" t="s">
        <v>3</v>
      </c>
      <c r="C39" s="25">
        <f>$C$8/$C$7+1</f>
        <v>5</v>
      </c>
      <c r="D39" t="s">
        <v>41</v>
      </c>
    </row>
    <row r="40" spans="1:6" x14ac:dyDescent="0.35">
      <c r="A40" s="8"/>
      <c r="B40" s="4" t="s">
        <v>4</v>
      </c>
      <c r="C40" s="25">
        <f>$C$8*1.01/$C$7+1</f>
        <v>5.04</v>
      </c>
      <c r="D40" t="s">
        <v>68</v>
      </c>
    </row>
    <row r="41" spans="1:6" x14ac:dyDescent="0.35">
      <c r="A41" s="8"/>
      <c r="B41" s="4" t="s">
        <v>0</v>
      </c>
      <c r="C41" s="25">
        <f>((C40-C39)/C39)/0.01</f>
        <v>0.80000000000000071</v>
      </c>
      <c r="D41" s="2" t="s">
        <v>42</v>
      </c>
    </row>
    <row r="44" spans="1:6" x14ac:dyDescent="0.35">
      <c r="A44" t="s">
        <v>44</v>
      </c>
      <c r="B44" s="9"/>
      <c r="D44" s="2"/>
    </row>
    <row r="45" spans="1:6" x14ac:dyDescent="0.35">
      <c r="A45" t="s">
        <v>34</v>
      </c>
      <c r="B45" s="9"/>
      <c r="D45" s="2"/>
    </row>
    <row r="46" spans="1:6" x14ac:dyDescent="0.35">
      <c r="A46" t="s">
        <v>33</v>
      </c>
      <c r="B46" s="9"/>
      <c r="D46" s="2"/>
    </row>
    <row r="47" spans="1:6" x14ac:dyDescent="0.35">
      <c r="A47" t="s">
        <v>69</v>
      </c>
      <c r="B47" s="9"/>
      <c r="D47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E147F-9885-4D03-B87C-487F7CB062A6}">
  <sheetPr>
    <tabColor rgb="FFFFFF99"/>
  </sheetPr>
  <dimension ref="A1:J43"/>
  <sheetViews>
    <sheetView tabSelected="1" zoomScale="85" zoomScaleNormal="85" workbookViewId="0">
      <selection activeCell="C46" sqref="C46"/>
    </sheetView>
  </sheetViews>
  <sheetFormatPr defaultRowHeight="14.5" x14ac:dyDescent="0.35"/>
  <cols>
    <col min="1" max="1" width="17.08984375" customWidth="1"/>
    <col min="2" max="2" width="15.089843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127</v>
      </c>
      <c r="F1" s="1"/>
    </row>
    <row r="2" spans="1:8" ht="15.5" x14ac:dyDescent="0.35">
      <c r="A2" s="46" t="s">
        <v>115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128</v>
      </c>
      <c r="B5" s="5"/>
      <c r="C5" s="5"/>
      <c r="D5" s="5"/>
      <c r="E5" s="5"/>
    </row>
    <row r="7" spans="1:8" x14ac:dyDescent="0.35">
      <c r="A7" t="s">
        <v>40</v>
      </c>
      <c r="B7" s="3" t="s">
        <v>57</v>
      </c>
      <c r="C7" s="1" t="s">
        <v>129</v>
      </c>
    </row>
    <row r="8" spans="1:8" ht="14.25" customHeight="1" x14ac:dyDescent="0.35"/>
    <row r="9" spans="1:8" x14ac:dyDescent="0.35">
      <c r="A9" t="s">
        <v>130</v>
      </c>
      <c r="B9" s="3" t="s">
        <v>131</v>
      </c>
      <c r="C9" s="6">
        <v>5</v>
      </c>
    </row>
    <row r="10" spans="1:8" x14ac:dyDescent="0.35">
      <c r="A10" t="s">
        <v>132</v>
      </c>
      <c r="B10" s="3" t="s">
        <v>133</v>
      </c>
      <c r="C10" s="1">
        <v>12</v>
      </c>
    </row>
    <row r="11" spans="1:8" x14ac:dyDescent="0.35">
      <c r="A11" t="s">
        <v>155</v>
      </c>
      <c r="B11" s="4" t="s">
        <v>151</v>
      </c>
      <c r="C11" s="16">
        <f>2^$C$10-1</f>
        <v>4095</v>
      </c>
      <c r="D11" t="s">
        <v>135</v>
      </c>
    </row>
    <row r="12" spans="1:8" x14ac:dyDescent="0.35">
      <c r="A12" t="s">
        <v>165</v>
      </c>
      <c r="B12" s="4" t="s">
        <v>168</v>
      </c>
      <c r="C12" s="18">
        <f>$C$9/(2^$C$10)</f>
        <v>1.220703125E-3</v>
      </c>
      <c r="D12" t="s">
        <v>160</v>
      </c>
    </row>
    <row r="14" spans="1:8" x14ac:dyDescent="0.35">
      <c r="A14" t="s">
        <v>53</v>
      </c>
      <c r="B14" s="3" t="s">
        <v>97</v>
      </c>
      <c r="C14" s="1" t="s">
        <v>141</v>
      </c>
      <c r="D14" t="s">
        <v>175</v>
      </c>
    </row>
    <row r="15" spans="1:8" x14ac:dyDescent="0.35">
      <c r="A15" t="s">
        <v>43</v>
      </c>
      <c r="B15" s="3" t="s">
        <v>136</v>
      </c>
      <c r="C15" s="1" t="s">
        <v>134</v>
      </c>
      <c r="D15" t="s">
        <v>176</v>
      </c>
    </row>
    <row r="16" spans="1:8" x14ac:dyDescent="0.35">
      <c r="A16" t="s">
        <v>166</v>
      </c>
      <c r="B16" s="3" t="s">
        <v>167</v>
      </c>
      <c r="C16" s="10">
        <f>(2^$C$10-1)/$C$9</f>
        <v>819</v>
      </c>
      <c r="D16" t="s">
        <v>169</v>
      </c>
    </row>
    <row r="18" spans="1:10" x14ac:dyDescent="0.35">
      <c r="A18" t="s">
        <v>163</v>
      </c>
      <c r="B18" s="3" t="s">
        <v>141</v>
      </c>
      <c r="C18" s="10">
        <v>2.5</v>
      </c>
      <c r="D18" s="19" t="s">
        <v>161</v>
      </c>
    </row>
    <row r="19" spans="1:10" x14ac:dyDescent="0.35">
      <c r="A19" t="s">
        <v>164</v>
      </c>
      <c r="B19" s="4" t="s">
        <v>134</v>
      </c>
      <c r="C19" s="16">
        <f>C18*C16</f>
        <v>2047.5</v>
      </c>
      <c r="D19" t="s">
        <v>162</v>
      </c>
    </row>
    <row r="22" spans="1:10" x14ac:dyDescent="0.35">
      <c r="A22" s="15" t="s">
        <v>46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35">
      <c r="A23" t="s">
        <v>156</v>
      </c>
      <c r="B23" s="9"/>
      <c r="E23" s="9"/>
    </row>
    <row r="24" spans="1:10" x14ac:dyDescent="0.35">
      <c r="A24" s="7"/>
      <c r="B24" s="9"/>
      <c r="E24" s="9"/>
    </row>
    <row r="25" spans="1:10" x14ac:dyDescent="0.35">
      <c r="A25" s="32" t="s">
        <v>49</v>
      </c>
      <c r="B25" t="s">
        <v>92</v>
      </c>
    </row>
    <row r="26" spans="1:10" x14ac:dyDescent="0.35">
      <c r="A26" s="11" t="s">
        <v>64</v>
      </c>
      <c r="B26" s="4" t="s">
        <v>137</v>
      </c>
      <c r="C26" s="10">
        <v>1</v>
      </c>
      <c r="E26" s="2" t="s">
        <v>174</v>
      </c>
    </row>
    <row r="27" spans="1:10" x14ac:dyDescent="0.35">
      <c r="A27" s="11" t="s">
        <v>138</v>
      </c>
      <c r="C27" s="10"/>
      <c r="E27" s="2"/>
    </row>
    <row r="28" spans="1:10" x14ac:dyDescent="0.35">
      <c r="A28" s="11" t="s">
        <v>139</v>
      </c>
      <c r="C28" s="10"/>
      <c r="D28" s="2"/>
    </row>
    <row r="29" spans="1:10" x14ac:dyDescent="0.35">
      <c r="A29" s="11"/>
      <c r="C29" s="10"/>
      <c r="D29" s="2"/>
    </row>
    <row r="30" spans="1:10" x14ac:dyDescent="0.35">
      <c r="A30" s="11"/>
      <c r="C30" s="10"/>
      <c r="D30" s="2"/>
    </row>
    <row r="31" spans="1:10" x14ac:dyDescent="0.35">
      <c r="A31" s="8"/>
      <c r="D31" s="2"/>
    </row>
    <row r="32" spans="1:10" x14ac:dyDescent="0.35">
      <c r="A32" s="15" t="s">
        <v>47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7" x14ac:dyDescent="0.35">
      <c r="A33" t="s">
        <v>54</v>
      </c>
      <c r="B33" s="9"/>
      <c r="E33" s="9"/>
    </row>
    <row r="34" spans="1:7" x14ac:dyDescent="0.35">
      <c r="B34" s="9"/>
      <c r="E34" s="9"/>
    </row>
    <row r="35" spans="1:7" x14ac:dyDescent="0.35">
      <c r="A35" t="s">
        <v>44</v>
      </c>
      <c r="B35" s="9"/>
      <c r="D35" s="2"/>
      <c r="G35" s="13"/>
    </row>
    <row r="36" spans="1:7" x14ac:dyDescent="0.35">
      <c r="A36" t="s">
        <v>34</v>
      </c>
      <c r="B36" s="9"/>
      <c r="D36" s="2"/>
    </row>
    <row r="37" spans="1:7" x14ac:dyDescent="0.35">
      <c r="A37" t="s">
        <v>33</v>
      </c>
      <c r="B37" s="9"/>
      <c r="D37" s="2"/>
    </row>
    <row r="38" spans="1:7" x14ac:dyDescent="0.35">
      <c r="A38" s="12"/>
      <c r="B38" s="1"/>
      <c r="D38" s="1"/>
      <c r="E38" s="11"/>
    </row>
    <row r="39" spans="1:7" x14ac:dyDescent="0.35">
      <c r="A39" s="11" t="s">
        <v>140</v>
      </c>
      <c r="B39" s="4" t="s">
        <v>0</v>
      </c>
      <c r="C39" s="10">
        <v>1</v>
      </c>
      <c r="D39" t="s">
        <v>177</v>
      </c>
    </row>
    <row r="41" spans="1:7" x14ac:dyDescent="0.35">
      <c r="A41" s="11" t="s">
        <v>146</v>
      </c>
      <c r="B41" s="4" t="s">
        <v>3</v>
      </c>
      <c r="C41" s="10">
        <f>(2^$C$10-1)/$C$9</f>
        <v>819</v>
      </c>
      <c r="D41" t="s">
        <v>152</v>
      </c>
      <c r="G41" s="13" t="s">
        <v>11</v>
      </c>
    </row>
    <row r="42" spans="1:7" x14ac:dyDescent="0.35">
      <c r="A42" s="8"/>
      <c r="B42" s="4" t="s">
        <v>4</v>
      </c>
      <c r="C42" s="10">
        <f>(2^$C$10-1)/($C$9*1.01)</f>
        <v>810.89108910891093</v>
      </c>
      <c r="D42" t="s">
        <v>153</v>
      </c>
      <c r="G42" s="13" t="s">
        <v>154</v>
      </c>
    </row>
    <row r="43" spans="1:7" x14ac:dyDescent="0.35">
      <c r="A43" s="8"/>
      <c r="B43" s="4" t="s">
        <v>0</v>
      </c>
      <c r="C43" s="10">
        <f>((C42-C41)/C41)/0.01</f>
        <v>-0.99009900990098509</v>
      </c>
      <c r="D43" s="2" t="s">
        <v>42</v>
      </c>
      <c r="G43" t="s">
        <v>12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42"/>
  <sheetViews>
    <sheetView zoomScale="70" zoomScaleNormal="70" workbookViewId="0">
      <selection activeCell="F42" sqref="F42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0.6328125" customWidth="1"/>
    <col min="7" max="7" width="14.3632812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2" t="s">
        <v>116</v>
      </c>
      <c r="F1" s="1"/>
      <c r="G1" s="1"/>
      <c r="H1" s="1"/>
    </row>
    <row r="2" spans="1:13" ht="18.5" x14ac:dyDescent="0.45">
      <c r="A2" s="43"/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118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112</v>
      </c>
      <c r="C11" t="s">
        <v>70</v>
      </c>
      <c r="D11" s="10"/>
      <c r="E11" s="10"/>
      <c r="F11" s="1" t="s">
        <v>111</v>
      </c>
    </row>
    <row r="12" spans="1:13" x14ac:dyDescent="0.35">
      <c r="A12" s="32" t="s">
        <v>22</v>
      </c>
      <c r="B12" s="40" t="s">
        <v>72</v>
      </c>
      <c r="C12" s="4" t="s">
        <v>24</v>
      </c>
      <c r="D12" s="4" t="s">
        <v>35</v>
      </c>
      <c r="E12" s="41" t="s">
        <v>25</v>
      </c>
      <c r="F12" s="4" t="s">
        <v>28</v>
      </c>
      <c r="G12" s="41" t="s">
        <v>30</v>
      </c>
    </row>
    <row r="13" spans="1:13" x14ac:dyDescent="0.35">
      <c r="A13" s="2" t="s">
        <v>113</v>
      </c>
      <c r="B13" s="9">
        <v>5.0000000000000001E-3</v>
      </c>
      <c r="C13" s="14">
        <f>M29</f>
        <v>9.1760073260073265E-4</v>
      </c>
      <c r="D13" s="14">
        <f>M41</f>
        <v>1.2141796875E-3</v>
      </c>
      <c r="E13" s="20">
        <f>C13+D13</f>
        <v>2.1317804201007326E-3</v>
      </c>
      <c r="F13" s="16">
        <f>(B13-E13)/B13*100</f>
        <v>57.364391597985353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47" t="s">
        <v>15</v>
      </c>
      <c r="B21" s="32"/>
      <c r="C21" s="35"/>
      <c r="D21" s="36" t="s">
        <v>49</v>
      </c>
      <c r="E21" s="36" t="s">
        <v>50</v>
      </c>
      <c r="F21" s="36"/>
      <c r="G21" s="36" t="s">
        <v>99</v>
      </c>
      <c r="H21" s="36" t="s">
        <v>48</v>
      </c>
      <c r="I21" s="39" t="s">
        <v>104</v>
      </c>
      <c r="J21" s="36" t="s">
        <v>101</v>
      </c>
      <c r="K21" s="39" t="s">
        <v>55</v>
      </c>
      <c r="M21" s="31" t="s">
        <v>125</v>
      </c>
      <c r="N21" s="31" t="s">
        <v>124</v>
      </c>
    </row>
    <row r="22" spans="1:14" ht="29" x14ac:dyDescent="0.35">
      <c r="A22" s="22" t="s">
        <v>40</v>
      </c>
      <c r="B22" s="22" t="s">
        <v>57</v>
      </c>
      <c r="C22" s="22" t="s">
        <v>81</v>
      </c>
      <c r="D22" s="30" t="s">
        <v>21</v>
      </c>
      <c r="E22" s="30" t="s">
        <v>21</v>
      </c>
      <c r="F22" s="22" t="s">
        <v>14</v>
      </c>
      <c r="G22" s="30" t="s">
        <v>100</v>
      </c>
      <c r="H22" s="23" t="s">
        <v>0</v>
      </c>
      <c r="I22" s="45" t="s">
        <v>106</v>
      </c>
      <c r="J22" s="24" t="s">
        <v>102</v>
      </c>
      <c r="K22" s="45" t="s">
        <v>103</v>
      </c>
      <c r="M22" s="24" t="s">
        <v>59</v>
      </c>
      <c r="N22" s="24" t="s">
        <v>60</v>
      </c>
    </row>
    <row r="23" spans="1:14" x14ac:dyDescent="0.35">
      <c r="A23" s="1" t="s">
        <v>157</v>
      </c>
      <c r="B23" s="1" t="s">
        <v>64</v>
      </c>
      <c r="C23" s="1" t="s">
        <v>123</v>
      </c>
      <c r="D23" s="1" t="s">
        <v>87</v>
      </c>
      <c r="E23" s="1">
        <v>1E-4</v>
      </c>
      <c r="F23" s="21" t="s">
        <v>5</v>
      </c>
      <c r="G23" s="14" t="s">
        <v>150</v>
      </c>
      <c r="H23" s="10">
        <f>Amp1_Calc!$C$25</f>
        <v>5</v>
      </c>
      <c r="I23" s="28">
        <f>E23*H23</f>
        <v>5.0000000000000001E-4</v>
      </c>
      <c r="J23" s="10">
        <f>Amp1_Calc!$C$15</f>
        <v>5</v>
      </c>
      <c r="K23" s="28">
        <f>I23*1/J23</f>
        <v>1E-4</v>
      </c>
      <c r="L23" s="2" t="s">
        <v>5</v>
      </c>
      <c r="M23" s="28">
        <f>ABS(K23)</f>
        <v>1E-4</v>
      </c>
      <c r="N23" s="17">
        <f>K23^2</f>
        <v>1E-8</v>
      </c>
    </row>
    <row r="24" spans="1:14" x14ac:dyDescent="0.35">
      <c r="A24" s="1" t="s">
        <v>39</v>
      </c>
      <c r="B24" s="1" t="s">
        <v>66</v>
      </c>
      <c r="C24" s="1" t="s">
        <v>123</v>
      </c>
      <c r="D24" s="1" t="s">
        <v>119</v>
      </c>
      <c r="E24" s="17">
        <v>1E-8</v>
      </c>
      <c r="F24" s="1" t="s">
        <v>13</v>
      </c>
      <c r="G24" s="14" t="s">
        <v>150</v>
      </c>
      <c r="H24" s="16">
        <f>Amp1_Calc!$C$27</f>
        <v>2500</v>
      </c>
      <c r="I24" s="28">
        <f>E24*H24</f>
        <v>2.5000000000000001E-5</v>
      </c>
      <c r="J24" s="10">
        <f>Amp1_Calc!$C$15</f>
        <v>5</v>
      </c>
      <c r="K24" s="28">
        <f>I24*1/J24</f>
        <v>5.0000000000000004E-6</v>
      </c>
      <c r="L24" s="2" t="s">
        <v>5</v>
      </c>
      <c r="M24" s="28">
        <f>ABS(K24)</f>
        <v>5.0000000000000004E-6</v>
      </c>
      <c r="N24" s="17">
        <f>K24^2</f>
        <v>2.5000000000000004E-11</v>
      </c>
    </row>
    <row r="25" spans="1:14" x14ac:dyDescent="0.35">
      <c r="A25" s="1" t="s">
        <v>39</v>
      </c>
      <c r="B25" s="1" t="s">
        <v>65</v>
      </c>
      <c r="C25" s="1" t="s">
        <v>123</v>
      </c>
      <c r="D25" s="1" t="s">
        <v>120</v>
      </c>
      <c r="E25" s="17">
        <v>1E-8</v>
      </c>
      <c r="F25" s="1" t="s">
        <v>13</v>
      </c>
      <c r="G25" s="14" t="s">
        <v>150</v>
      </c>
      <c r="H25" s="16">
        <f>Amp1_Calc!$C$29</f>
        <v>-40000</v>
      </c>
      <c r="I25" s="28">
        <f>E25*H25</f>
        <v>-4.0000000000000002E-4</v>
      </c>
      <c r="J25" s="10">
        <f>Amp1_Calc!$C$15</f>
        <v>5</v>
      </c>
      <c r="K25" s="28">
        <f>I25*1/J25</f>
        <v>-8.0000000000000007E-5</v>
      </c>
      <c r="L25" s="2" t="s">
        <v>5</v>
      </c>
      <c r="M25" s="28">
        <f>ABS(K25)</f>
        <v>8.0000000000000007E-5</v>
      </c>
      <c r="N25" s="17">
        <f>K25^2</f>
        <v>6.4000000000000011E-9</v>
      </c>
    </row>
    <row r="26" spans="1:14" x14ac:dyDescent="0.35">
      <c r="A26" s="1" t="s">
        <v>129</v>
      </c>
      <c r="B26" s="1" t="s">
        <v>145</v>
      </c>
      <c r="C26" s="1" t="s">
        <v>144</v>
      </c>
      <c r="D26" s="1" t="s">
        <v>87</v>
      </c>
      <c r="E26" s="18">
        <f>3/'ADC Calc'!$C$16</f>
        <v>3.663003663003663E-3</v>
      </c>
      <c r="F26" s="21" t="s">
        <v>5</v>
      </c>
      <c r="G26" s="14" t="s">
        <v>141</v>
      </c>
      <c r="H26" s="10">
        <f>'ADC Calc'!$C$26</f>
        <v>1</v>
      </c>
      <c r="I26" s="14">
        <f>E26*H26</f>
        <v>3.663003663003663E-3</v>
      </c>
      <c r="J26" s="10">
        <f>Amp1_Calc!$C$15</f>
        <v>5</v>
      </c>
      <c r="K26" s="28">
        <f>I26*1/J26</f>
        <v>7.326007326007326E-4</v>
      </c>
      <c r="L26" s="2" t="s">
        <v>5</v>
      </c>
      <c r="M26" s="28">
        <f>ABS(K26)</f>
        <v>7.326007326007326E-4</v>
      </c>
      <c r="N26" s="17">
        <f>K26^2</f>
        <v>5.3670383340713011E-7</v>
      </c>
    </row>
    <row r="27" spans="1:14" x14ac:dyDescent="0.35">
      <c r="B27" s="1" t="s">
        <v>26</v>
      </c>
      <c r="E27" s="17"/>
      <c r="F27" s="1"/>
      <c r="G27" s="14"/>
      <c r="H27" s="16"/>
      <c r="I27" s="18"/>
      <c r="J27" s="10"/>
      <c r="K27" s="28"/>
    </row>
    <row r="28" spans="1:14" x14ac:dyDescent="0.35">
      <c r="G28" s="1"/>
      <c r="I28" s="1"/>
      <c r="J28" s="10"/>
      <c r="K28" s="20"/>
      <c r="L28" s="2"/>
      <c r="M28" s="39" t="s">
        <v>74</v>
      </c>
      <c r="N28" s="33" t="s">
        <v>75</v>
      </c>
    </row>
    <row r="29" spans="1:14" x14ac:dyDescent="0.35">
      <c r="G29" s="1"/>
      <c r="I29" s="1"/>
      <c r="J29" s="1"/>
      <c r="K29" s="20"/>
      <c r="L29" s="2"/>
      <c r="M29" s="28">
        <f>SUM(M23:M27)</f>
        <v>9.1760073260073265E-4</v>
      </c>
      <c r="N29" s="28">
        <f>SQRT(SUM(N23:N27))</f>
        <v>7.4372631619913122E-4</v>
      </c>
    </row>
    <row r="30" spans="1:14" x14ac:dyDescent="0.35">
      <c r="G30" s="1"/>
      <c r="I30" s="1"/>
      <c r="J30" s="1"/>
      <c r="K30" s="20"/>
      <c r="L30" s="26"/>
    </row>
    <row r="31" spans="1:14" ht="29" x14ac:dyDescent="0.35">
      <c r="A31" s="9" t="s">
        <v>61</v>
      </c>
      <c r="B31" s="7"/>
      <c r="C31" s="7"/>
      <c r="D31" s="36" t="s">
        <v>49</v>
      </c>
      <c r="E31" s="36" t="s">
        <v>50</v>
      </c>
      <c r="G31" s="36" t="s">
        <v>99</v>
      </c>
      <c r="H31" s="36" t="s">
        <v>48</v>
      </c>
      <c r="I31" s="36" t="s">
        <v>104</v>
      </c>
      <c r="J31" s="36" t="s">
        <v>101</v>
      </c>
      <c r="K31" s="39" t="s">
        <v>55</v>
      </c>
      <c r="L31" s="26"/>
      <c r="M31" s="1"/>
      <c r="N31" s="31"/>
    </row>
    <row r="32" spans="1:14" ht="29" x14ac:dyDescent="0.35">
      <c r="A32" s="22" t="s">
        <v>38</v>
      </c>
      <c r="B32" s="22" t="s">
        <v>57</v>
      </c>
      <c r="C32" s="22" t="s">
        <v>81</v>
      </c>
      <c r="D32" s="30" t="s">
        <v>21</v>
      </c>
      <c r="E32" s="30" t="s">
        <v>21</v>
      </c>
      <c r="F32" s="22" t="s">
        <v>14</v>
      </c>
      <c r="G32" s="30" t="s">
        <v>100</v>
      </c>
      <c r="H32" s="23" t="s">
        <v>0</v>
      </c>
      <c r="I32" s="45" t="s">
        <v>105</v>
      </c>
      <c r="J32" s="24" t="s">
        <v>102</v>
      </c>
      <c r="K32" s="45" t="s">
        <v>103</v>
      </c>
      <c r="L32" s="34"/>
      <c r="M32" s="24" t="s">
        <v>59</v>
      </c>
      <c r="N32" s="24" t="s">
        <v>60</v>
      </c>
    </row>
    <row r="33" spans="1:14" x14ac:dyDescent="0.35">
      <c r="A33" s="1" t="s">
        <v>157</v>
      </c>
      <c r="B33" s="1" t="s">
        <v>88</v>
      </c>
      <c r="C33" s="1" t="s">
        <v>123</v>
      </c>
      <c r="D33" s="1" t="s">
        <v>91</v>
      </c>
      <c r="E33" s="27">
        <v>1.0000000000000001E-5</v>
      </c>
      <c r="F33" s="21" t="s">
        <v>17</v>
      </c>
      <c r="G33" s="14" t="s">
        <v>150</v>
      </c>
      <c r="H33" s="10">
        <f>Amp1_Calc!$C$25</f>
        <v>5</v>
      </c>
      <c r="I33" s="28">
        <f>E33*$C$9*H33</f>
        <v>1.5E-3</v>
      </c>
      <c r="J33" s="10">
        <f>Amp1_Calc!$C$15</f>
        <v>5</v>
      </c>
      <c r="K33" s="28">
        <f t="shared" ref="K33:K38" si="0">I33*1/J33</f>
        <v>3.0000000000000003E-4</v>
      </c>
      <c r="L33" s="2" t="s">
        <v>5</v>
      </c>
      <c r="M33" s="28">
        <f t="shared" ref="M33:M38" si="1">ABS(K33)</f>
        <v>3.0000000000000003E-4</v>
      </c>
      <c r="N33" s="17">
        <f t="shared" ref="N33:N38" si="2">K33^2</f>
        <v>9.0000000000000012E-8</v>
      </c>
    </row>
    <row r="34" spans="1:14" x14ac:dyDescent="0.35">
      <c r="A34" s="1" t="s">
        <v>39</v>
      </c>
      <c r="B34" s="1" t="s">
        <v>89</v>
      </c>
      <c r="C34" s="1" t="s">
        <v>123</v>
      </c>
      <c r="D34" s="1" t="s">
        <v>121</v>
      </c>
      <c r="E34" s="17">
        <v>1.0000000000000001E-9</v>
      </c>
      <c r="F34" s="1" t="s">
        <v>18</v>
      </c>
      <c r="G34" s="14" t="s">
        <v>150</v>
      </c>
      <c r="H34" s="16">
        <f>Amp1_Calc!$C$27</f>
        <v>2500</v>
      </c>
      <c r="I34" s="28">
        <f>E34*$C$9*H34</f>
        <v>7.5000000000000007E-5</v>
      </c>
      <c r="J34" s="10">
        <f>Amp1_Calc!$C$15</f>
        <v>5</v>
      </c>
      <c r="K34" s="28">
        <f>I34*1/J34</f>
        <v>1.5000000000000002E-5</v>
      </c>
      <c r="L34" s="2" t="s">
        <v>5</v>
      </c>
      <c r="M34" s="28">
        <f>ABS(K34)</f>
        <v>1.5000000000000002E-5</v>
      </c>
      <c r="N34" s="17">
        <f>K34^2</f>
        <v>2.2500000000000005E-10</v>
      </c>
    </row>
    <row r="35" spans="1:14" x14ac:dyDescent="0.35">
      <c r="A35" s="1" t="s">
        <v>39</v>
      </c>
      <c r="B35" s="1" t="s">
        <v>90</v>
      </c>
      <c r="C35" s="1" t="s">
        <v>123</v>
      </c>
      <c r="D35" s="1" t="s">
        <v>122</v>
      </c>
      <c r="E35" s="17">
        <v>1.0000000000000001E-9</v>
      </c>
      <c r="F35" s="1" t="s">
        <v>18</v>
      </c>
      <c r="G35" s="14" t="s">
        <v>150</v>
      </c>
      <c r="H35" s="16">
        <f>Amp1_Calc!$C$29</f>
        <v>-40000</v>
      </c>
      <c r="I35" s="28">
        <f>E35*$C$9*H35</f>
        <v>-1.2000000000000001E-3</v>
      </c>
      <c r="J35" s="10">
        <f>Amp1_Calc!$C$15</f>
        <v>5</v>
      </c>
      <c r="K35" s="28">
        <f t="shared" si="0"/>
        <v>-2.4000000000000003E-4</v>
      </c>
      <c r="L35" s="2" t="s">
        <v>5</v>
      </c>
      <c r="M35" s="28">
        <f t="shared" si="1"/>
        <v>2.4000000000000003E-4</v>
      </c>
      <c r="N35" s="17">
        <f t="shared" si="2"/>
        <v>5.7600000000000013E-8</v>
      </c>
    </row>
    <row r="36" spans="1:14" x14ac:dyDescent="0.35">
      <c r="A36" s="1" t="s">
        <v>129</v>
      </c>
      <c r="B36" s="1" t="s">
        <v>159</v>
      </c>
      <c r="C36" s="1" t="s">
        <v>144</v>
      </c>
      <c r="D36" s="1" t="s">
        <v>91</v>
      </c>
      <c r="E36" s="17">
        <f>0.04*'ADC Calc'!$C$12</f>
        <v>4.8828125000000003E-5</v>
      </c>
      <c r="F36" s="21" t="s">
        <v>17</v>
      </c>
      <c r="G36" s="14" t="s">
        <v>141</v>
      </c>
      <c r="H36" s="10">
        <f>'ADC Calc'!$C$26</f>
        <v>1</v>
      </c>
      <c r="I36" s="28">
        <f>E36*$C$9*H36</f>
        <v>1.46484375E-3</v>
      </c>
      <c r="J36" s="10">
        <f>Amp1_Calc!$C$15</f>
        <v>5</v>
      </c>
      <c r="K36" s="28">
        <f t="shared" si="0"/>
        <v>2.9296874999999999E-4</v>
      </c>
      <c r="L36" s="2" t="s">
        <v>5</v>
      </c>
      <c r="M36" s="28">
        <f t="shared" si="1"/>
        <v>2.9296874999999999E-4</v>
      </c>
      <c r="N36" s="17">
        <f t="shared" si="2"/>
        <v>8.5830688476562497E-8</v>
      </c>
    </row>
    <row r="37" spans="1:14" x14ac:dyDescent="0.35">
      <c r="A37" s="1" t="s">
        <v>39</v>
      </c>
      <c r="B37" s="1" t="s">
        <v>143</v>
      </c>
      <c r="C37" s="1" t="s">
        <v>144</v>
      </c>
      <c r="D37" s="1" t="s">
        <v>171</v>
      </c>
      <c r="E37" s="18">
        <f>0.5*'ADC Calc'!$C$12</f>
        <v>6.103515625E-4</v>
      </c>
      <c r="F37" s="21" t="s">
        <v>5</v>
      </c>
      <c r="G37" s="14" t="s">
        <v>141</v>
      </c>
      <c r="H37" s="10">
        <f>'ADC Calc'!$C$26</f>
        <v>1</v>
      </c>
      <c r="I37" s="28">
        <f>E37*H37</f>
        <v>6.103515625E-4</v>
      </c>
      <c r="J37" s="10">
        <f>Amp1_Calc!$C$15</f>
        <v>5</v>
      </c>
      <c r="K37" s="28">
        <f t="shared" si="0"/>
        <v>1.220703125E-4</v>
      </c>
      <c r="L37" s="2" t="s">
        <v>5</v>
      </c>
      <c r="M37" s="28">
        <f t="shared" si="1"/>
        <v>1.220703125E-4</v>
      </c>
      <c r="N37" s="17">
        <f t="shared" si="2"/>
        <v>1.4901161193847656E-8</v>
      </c>
    </row>
    <row r="38" spans="1:14" x14ac:dyDescent="0.35">
      <c r="A38" s="1" t="s">
        <v>39</v>
      </c>
      <c r="B38" s="1" t="s">
        <v>142</v>
      </c>
      <c r="C38" s="1" t="s">
        <v>144</v>
      </c>
      <c r="D38" s="1" t="s">
        <v>172</v>
      </c>
      <c r="E38" s="18">
        <f>1*'ADC Calc'!$C$12</f>
        <v>1.220703125E-3</v>
      </c>
      <c r="F38" s="21" t="s">
        <v>5</v>
      </c>
      <c r="G38" s="14" t="s">
        <v>141</v>
      </c>
      <c r="H38" s="10">
        <f>'ADC Calc'!$C$26</f>
        <v>1</v>
      </c>
      <c r="I38" s="28">
        <f>E38*H38</f>
        <v>1.220703125E-3</v>
      </c>
      <c r="J38" s="10">
        <f>Amp1_Calc!$C$15</f>
        <v>5</v>
      </c>
      <c r="K38" s="28">
        <f t="shared" si="0"/>
        <v>2.44140625E-4</v>
      </c>
      <c r="L38" s="2" t="s">
        <v>5</v>
      </c>
      <c r="M38" s="28">
        <f t="shared" si="1"/>
        <v>2.44140625E-4</v>
      </c>
      <c r="N38" s="17">
        <f t="shared" si="2"/>
        <v>5.9604644775390625E-8</v>
      </c>
    </row>
    <row r="39" spans="1:14" x14ac:dyDescent="0.35">
      <c r="B39" s="1" t="s">
        <v>26</v>
      </c>
      <c r="C39" s="1"/>
    </row>
    <row r="40" spans="1:14" x14ac:dyDescent="0.35">
      <c r="C40" s="1"/>
      <c r="G40" s="1"/>
      <c r="H40" s="1"/>
      <c r="I40" s="1"/>
      <c r="J40" s="29"/>
      <c r="K40" s="2"/>
      <c r="M40" s="39" t="s">
        <v>74</v>
      </c>
      <c r="N40" s="33" t="s">
        <v>75</v>
      </c>
    </row>
    <row r="41" spans="1:14" x14ac:dyDescent="0.35">
      <c r="G41" s="1"/>
      <c r="H41" s="1"/>
      <c r="I41" s="1"/>
      <c r="J41" s="29"/>
      <c r="K41" s="2"/>
      <c r="M41" s="28">
        <f>SUM(M33:M39)</f>
        <v>1.2141796875E-3</v>
      </c>
      <c r="N41" s="28">
        <f>SQRT(SUM(N33:N39))</f>
        <v>5.551229543495754E-4</v>
      </c>
    </row>
    <row r="42" spans="1:14" x14ac:dyDescent="0.35">
      <c r="G42" s="1"/>
      <c r="H42" s="1"/>
      <c r="I42" s="1"/>
      <c r="J42" s="29"/>
      <c r="K42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8"/>
  <sheetViews>
    <sheetView zoomScale="70" zoomScaleNormal="70" workbookViewId="0">
      <selection activeCell="J28" sqref="J28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2" t="s">
        <v>117</v>
      </c>
      <c r="F1" s="1"/>
      <c r="G1" s="1"/>
      <c r="H1" s="1"/>
    </row>
    <row r="2" spans="1:13" x14ac:dyDescent="0.35"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118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112</v>
      </c>
      <c r="C11" t="s">
        <v>29</v>
      </c>
      <c r="D11" s="10"/>
      <c r="E11" s="10"/>
      <c r="F11" s="1" t="s">
        <v>111</v>
      </c>
    </row>
    <row r="12" spans="1:13" x14ac:dyDescent="0.35">
      <c r="A12" s="7" t="s">
        <v>23</v>
      </c>
      <c r="B12" s="3" t="s">
        <v>73</v>
      </c>
      <c r="C12" s="4" t="s">
        <v>24</v>
      </c>
      <c r="D12" s="4" t="s">
        <v>35</v>
      </c>
      <c r="E12" s="41" t="s">
        <v>25</v>
      </c>
      <c r="F12" s="4" t="s">
        <v>28</v>
      </c>
      <c r="G12" s="44" t="s">
        <v>30</v>
      </c>
    </row>
    <row r="13" spans="1:13" x14ac:dyDescent="0.35">
      <c r="B13" s="10">
        <v>1</v>
      </c>
      <c r="C13" s="25">
        <f>M29</f>
        <v>0.70308555074257195</v>
      </c>
      <c r="D13" s="25">
        <f>M38</f>
        <v>0.68473236386138581</v>
      </c>
      <c r="E13" s="25">
        <f>C13+D13</f>
        <v>1.3878179146039578</v>
      </c>
      <c r="F13" s="16">
        <f>(B13-E13)/B13*100</f>
        <v>-38.781791460395773</v>
      </c>
      <c r="G13" s="9" t="str">
        <f>IF(F13&gt;0,"PASS", "FAIL")</f>
        <v>FAIL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110</v>
      </c>
    </row>
    <row r="21" spans="1:15" ht="29" x14ac:dyDescent="0.35">
      <c r="A21" s="9" t="s">
        <v>15</v>
      </c>
      <c r="B21" s="7"/>
      <c r="C21" s="7"/>
      <c r="D21" s="36" t="s">
        <v>49</v>
      </c>
      <c r="E21" s="36" t="s">
        <v>50</v>
      </c>
      <c r="G21" s="36" t="s">
        <v>99</v>
      </c>
      <c r="H21" s="36" t="s">
        <v>36</v>
      </c>
      <c r="I21" s="36" t="s">
        <v>109</v>
      </c>
      <c r="M21" s="31" t="s">
        <v>125</v>
      </c>
      <c r="N21" s="31" t="s">
        <v>124</v>
      </c>
    </row>
    <row r="22" spans="1:15" ht="29" x14ac:dyDescent="0.35">
      <c r="A22" s="22" t="s">
        <v>38</v>
      </c>
      <c r="B22" s="22" t="s">
        <v>57</v>
      </c>
      <c r="C22" s="22" t="s">
        <v>81</v>
      </c>
      <c r="D22" s="30" t="s">
        <v>21</v>
      </c>
      <c r="E22" s="30" t="s">
        <v>21</v>
      </c>
      <c r="F22" s="22" t="s">
        <v>14</v>
      </c>
      <c r="G22" s="30" t="s">
        <v>100</v>
      </c>
      <c r="H22" s="23" t="s">
        <v>0</v>
      </c>
      <c r="I22" s="45" t="s">
        <v>108</v>
      </c>
      <c r="J22" s="37"/>
      <c r="K22" s="34"/>
      <c r="L22" s="34"/>
      <c r="M22" s="24" t="s">
        <v>51</v>
      </c>
      <c r="N22" s="24" t="s">
        <v>52</v>
      </c>
    </row>
    <row r="23" spans="1:15" x14ac:dyDescent="0.35">
      <c r="A23" s="1" t="s">
        <v>37</v>
      </c>
      <c r="B23" s="1" t="s">
        <v>32</v>
      </c>
      <c r="C23" s="1" t="s">
        <v>82</v>
      </c>
      <c r="D23" s="1" t="s">
        <v>83</v>
      </c>
      <c r="E23" s="1">
        <v>0.1</v>
      </c>
      <c r="F23" s="21" t="s">
        <v>9</v>
      </c>
      <c r="G23" s="14" t="s">
        <v>94</v>
      </c>
      <c r="H23" s="10">
        <f>Amp1_Calc!$C$41</f>
        <v>0.80000000000000071</v>
      </c>
      <c r="I23" s="25">
        <f>E23*H23</f>
        <v>8.0000000000000071E-2</v>
      </c>
      <c r="J23" s="14"/>
      <c r="L23" s="2"/>
      <c r="M23" s="6">
        <f>ABS(I23)</f>
        <v>8.0000000000000071E-2</v>
      </c>
      <c r="N23" s="17">
        <f>I23^2</f>
        <v>6.4000000000000116E-3</v>
      </c>
      <c r="O23" s="2" t="s">
        <v>9</v>
      </c>
    </row>
    <row r="24" spans="1:15" x14ac:dyDescent="0.35">
      <c r="A24" s="1" t="s">
        <v>39</v>
      </c>
      <c r="B24" s="1" t="s">
        <v>31</v>
      </c>
      <c r="C24" s="1" t="s">
        <v>82</v>
      </c>
      <c r="D24" s="1" t="s">
        <v>83</v>
      </c>
      <c r="E24" s="1">
        <v>0.1</v>
      </c>
      <c r="F24" s="21" t="s">
        <v>9</v>
      </c>
      <c r="G24" s="14" t="s">
        <v>94</v>
      </c>
      <c r="H24" s="10">
        <f>Amp1_Calc!$C$37</f>
        <v>-0.79207920792079278</v>
      </c>
      <c r="I24" s="25">
        <f>E24*H24</f>
        <v>-7.9207920792079278E-2</v>
      </c>
      <c r="J24" s="14"/>
      <c r="L24" s="2"/>
      <c r="M24" s="6">
        <f>ABS(I24)</f>
        <v>7.9207920792079278E-2</v>
      </c>
      <c r="N24" s="17">
        <f>I24^2</f>
        <v>6.2738947162043045E-3</v>
      </c>
      <c r="O24" s="2" t="s">
        <v>9</v>
      </c>
    </row>
    <row r="25" spans="1:15" x14ac:dyDescent="0.35">
      <c r="A25" s="1" t="s">
        <v>129</v>
      </c>
      <c r="B25" s="1" t="s">
        <v>147</v>
      </c>
      <c r="C25" s="1" t="s">
        <v>144</v>
      </c>
      <c r="D25" s="1" t="s">
        <v>180</v>
      </c>
      <c r="E25" s="25">
        <f>2/2^'ADC Calc'!$C$10*100</f>
        <v>4.8828125E-2</v>
      </c>
      <c r="F25" s="21" t="s">
        <v>9</v>
      </c>
      <c r="G25" s="14" t="s">
        <v>141</v>
      </c>
      <c r="H25" s="10">
        <f>'ADC Calc'!$C$39</f>
        <v>1</v>
      </c>
      <c r="I25" s="25">
        <f>E25*H25</f>
        <v>4.8828125E-2</v>
      </c>
      <c r="J25" s="14"/>
      <c r="L25" s="2"/>
      <c r="M25" s="6">
        <f>ABS(I25)</f>
        <v>4.8828125E-2</v>
      </c>
      <c r="N25" s="17">
        <f>I25^2</f>
        <v>2.384185791015625E-3</v>
      </c>
      <c r="O25" s="2" t="s">
        <v>9</v>
      </c>
    </row>
    <row r="26" spans="1:15" x14ac:dyDescent="0.35">
      <c r="A26" s="1" t="s">
        <v>39</v>
      </c>
      <c r="B26" s="1" t="s">
        <v>173</v>
      </c>
      <c r="C26" s="1" t="s">
        <v>144</v>
      </c>
      <c r="D26" s="1" t="s">
        <v>181</v>
      </c>
      <c r="E26" s="1">
        <v>0.5</v>
      </c>
      <c r="F26" s="21" t="s">
        <v>9</v>
      </c>
      <c r="G26" s="14" t="s">
        <v>141</v>
      </c>
      <c r="H26" s="10">
        <f>'ADC Calc'!$C$43</f>
        <v>-0.99009900990098509</v>
      </c>
      <c r="I26" s="25">
        <f>E26*H26</f>
        <v>-0.49504950495049255</v>
      </c>
      <c r="J26" s="14"/>
      <c r="L26" s="2"/>
      <c r="M26" s="6">
        <f>ABS(I26)</f>
        <v>0.49504950495049255</v>
      </c>
      <c r="N26" s="17">
        <f>I26^2</f>
        <v>0.24507401235172774</v>
      </c>
      <c r="O26" s="2" t="s">
        <v>9</v>
      </c>
    </row>
    <row r="27" spans="1:15" x14ac:dyDescent="0.35">
      <c r="B27" s="1" t="s">
        <v>26</v>
      </c>
      <c r="G27" s="1"/>
      <c r="J27" s="1"/>
    </row>
    <row r="28" spans="1:15" x14ac:dyDescent="0.35">
      <c r="M28" s="39" t="s">
        <v>74</v>
      </c>
      <c r="N28" s="33" t="s">
        <v>75</v>
      </c>
    </row>
    <row r="29" spans="1:15" x14ac:dyDescent="0.35">
      <c r="M29" s="6">
        <f>SUM(M23:M27)</f>
        <v>0.70308555074257195</v>
      </c>
      <c r="N29" s="6">
        <f>SQRT(SUM(N23:N27))</f>
        <v>0.51003146261671706</v>
      </c>
    </row>
    <row r="30" spans="1:15" ht="29" x14ac:dyDescent="0.35">
      <c r="A30" s="9" t="s">
        <v>61</v>
      </c>
      <c r="B30" s="7"/>
      <c r="C30" s="7"/>
      <c r="D30" s="36" t="s">
        <v>49</v>
      </c>
      <c r="E30" s="36" t="s">
        <v>50</v>
      </c>
      <c r="G30" s="36" t="s">
        <v>99</v>
      </c>
      <c r="H30" s="36" t="s">
        <v>36</v>
      </c>
      <c r="I30" s="36" t="s">
        <v>109</v>
      </c>
      <c r="M30" s="31"/>
      <c r="N30" s="31"/>
    </row>
    <row r="31" spans="1:15" ht="29" x14ac:dyDescent="0.35">
      <c r="A31" s="22" t="s">
        <v>38</v>
      </c>
      <c r="B31" s="22" t="s">
        <v>57</v>
      </c>
      <c r="C31" s="22" t="s">
        <v>81</v>
      </c>
      <c r="D31" s="22" t="s">
        <v>21</v>
      </c>
      <c r="E31" s="22" t="s">
        <v>21</v>
      </c>
      <c r="F31" s="22" t="s">
        <v>14</v>
      </c>
      <c r="G31" s="30" t="s">
        <v>100</v>
      </c>
      <c r="H31" s="23" t="s">
        <v>0</v>
      </c>
      <c r="I31" s="45" t="s">
        <v>107</v>
      </c>
      <c r="J31" s="34"/>
      <c r="K31" s="34"/>
      <c r="L31" s="34"/>
      <c r="M31" s="24" t="s">
        <v>51</v>
      </c>
      <c r="N31" s="24" t="s">
        <v>52</v>
      </c>
    </row>
    <row r="32" spans="1:15" x14ac:dyDescent="0.35">
      <c r="A32" s="1" t="s">
        <v>37</v>
      </c>
      <c r="B32" s="1" t="s">
        <v>86</v>
      </c>
      <c r="C32" s="1" t="s">
        <v>82</v>
      </c>
      <c r="D32" s="1" t="s">
        <v>84</v>
      </c>
      <c r="E32" s="1">
        <v>100</v>
      </c>
      <c r="F32" s="21" t="s">
        <v>16</v>
      </c>
      <c r="G32" s="14" t="s">
        <v>94</v>
      </c>
      <c r="H32" s="10">
        <f>Amp1_Calc!$C$41</f>
        <v>0.80000000000000071</v>
      </c>
      <c r="I32" s="25">
        <f>E32/1000000*$C$9*H32*100</f>
        <v>0.24000000000000024</v>
      </c>
      <c r="J32" s="14"/>
      <c r="M32" s="6">
        <f>ABS(I32)</f>
        <v>0.24000000000000024</v>
      </c>
      <c r="N32" s="17">
        <f>I32^2</f>
        <v>5.7600000000000116E-2</v>
      </c>
      <c r="O32" s="2" t="s">
        <v>9</v>
      </c>
    </row>
    <row r="33" spans="1:15" x14ac:dyDescent="0.35">
      <c r="A33" s="1" t="s">
        <v>39</v>
      </c>
      <c r="B33" s="1" t="s">
        <v>85</v>
      </c>
      <c r="C33" s="1" t="s">
        <v>82</v>
      </c>
      <c r="D33" s="1" t="s">
        <v>84</v>
      </c>
      <c r="E33" s="1">
        <v>100</v>
      </c>
      <c r="F33" s="21" t="s">
        <v>16</v>
      </c>
      <c r="G33" s="14" t="s">
        <v>94</v>
      </c>
      <c r="H33" s="10">
        <f>Amp1_Calc!$C$37</f>
        <v>-0.79207920792079278</v>
      </c>
      <c r="I33" s="25">
        <f>E33/1000000*$C$9*H33*100</f>
        <v>-0.23762376237623783</v>
      </c>
      <c r="J33" s="14"/>
      <c r="L33" s="2"/>
      <c r="M33" s="6">
        <f>ABS(I33)</f>
        <v>0.23762376237623783</v>
      </c>
      <c r="N33" s="17">
        <f>I33^2</f>
        <v>5.6465052445838743E-2</v>
      </c>
      <c r="O33" s="2" t="s">
        <v>9</v>
      </c>
    </row>
    <row r="34" spans="1:15" x14ac:dyDescent="0.35">
      <c r="A34" s="1" t="s">
        <v>129</v>
      </c>
      <c r="B34" s="1" t="s">
        <v>148</v>
      </c>
      <c r="C34" s="1" t="s">
        <v>144</v>
      </c>
      <c r="D34" s="1" t="s">
        <v>178</v>
      </c>
      <c r="E34" s="16">
        <f>0.08/2^'ADC Calc'!$C$10*1000000</f>
        <v>19.53125</v>
      </c>
      <c r="F34" s="21" t="s">
        <v>16</v>
      </c>
      <c r="G34" s="14" t="s">
        <v>141</v>
      </c>
      <c r="H34" s="10">
        <f>'ADC Calc'!$C$39</f>
        <v>1</v>
      </c>
      <c r="I34" s="25">
        <f>E34/1000000*$C$9*H34*100</f>
        <v>5.859375E-2</v>
      </c>
      <c r="J34" s="14"/>
      <c r="L34" s="2"/>
      <c r="M34" s="6">
        <f>ABS(I34)</f>
        <v>5.859375E-2</v>
      </c>
      <c r="N34" s="17">
        <f>I34^2</f>
        <v>3.4332275390625E-3</v>
      </c>
      <c r="O34" s="2" t="s">
        <v>9</v>
      </c>
    </row>
    <row r="35" spans="1:15" x14ac:dyDescent="0.35">
      <c r="A35" s="1" t="s">
        <v>39</v>
      </c>
      <c r="B35" s="1" t="s">
        <v>149</v>
      </c>
      <c r="C35" s="1" t="s">
        <v>144</v>
      </c>
      <c r="D35" s="1" t="s">
        <v>179</v>
      </c>
      <c r="E35" s="1">
        <v>50</v>
      </c>
      <c r="F35" s="21" t="s">
        <v>16</v>
      </c>
      <c r="G35" s="14" t="s">
        <v>141</v>
      </c>
      <c r="H35" s="10">
        <f>'ADC Calc'!$C$43</f>
        <v>-0.99009900990098509</v>
      </c>
      <c r="I35" s="25">
        <f>E35/1000000*$C$9*H35*100</f>
        <v>-0.14851485148514776</v>
      </c>
      <c r="J35" s="14"/>
      <c r="M35" s="6">
        <f>ABS(I35)</f>
        <v>0.14851485148514776</v>
      </c>
      <c r="N35" s="17">
        <f>I35^2</f>
        <v>2.2056661111655496E-2</v>
      </c>
      <c r="O35" s="2" t="s">
        <v>9</v>
      </c>
    </row>
    <row r="36" spans="1:15" x14ac:dyDescent="0.35">
      <c r="B36" s="1" t="s">
        <v>26</v>
      </c>
      <c r="E36" s="1"/>
    </row>
    <row r="37" spans="1:15" x14ac:dyDescent="0.35">
      <c r="G37" s="1"/>
      <c r="H37" s="1"/>
      <c r="I37" s="1"/>
      <c r="M37" s="39" t="s">
        <v>74</v>
      </c>
      <c r="N37" s="33" t="s">
        <v>75</v>
      </c>
    </row>
    <row r="38" spans="1:15" x14ac:dyDescent="0.35">
      <c r="G38" s="1"/>
      <c r="H38" s="1"/>
      <c r="I38" s="1"/>
      <c r="M38" s="6">
        <f>SUM(M32:M36)</f>
        <v>0.68473236386138581</v>
      </c>
      <c r="N38" s="6">
        <f>SQRT(SUM(N32:N36))</f>
        <v>0.37357053028384996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Props1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Amp1_Calc</vt:lpstr>
      <vt:lpstr>ADC 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2025-03-25T22:37:32Z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