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Documents\Documents Rick\EE fun\Design Tools\Excel\excel ecircuit calc series\op_amp_series1\"/>
    </mc:Choice>
  </mc:AlternateContent>
  <xr:revisionPtr revIDLastSave="0" documentId="13_ncr:1_{1FAC85FF-D2A7-4044-A45C-77815CEC6C30}" xr6:coauthVersionLast="47" xr6:coauthVersionMax="47" xr10:uidLastSave="{00000000-0000-0000-0000-000000000000}"/>
  <bookViews>
    <workbookView xWindow="-108" yWindow="-108" windowWidth="23256" windowHeight="12576" activeTab="5" xr2:uid="{00000000-000D-0000-FFFF-FFFF00000000}"/>
  </bookViews>
  <sheets>
    <sheet name="Aol" sheetId="19" r:id="rId1"/>
    <sheet name="fu (bw)" sheetId="20" r:id="rId2"/>
    <sheet name="slew rate" sheetId="21" r:id="rId3"/>
    <sheet name="ilim" sheetId="22" r:id="rId4"/>
    <sheet name="vlim" sheetId="23" r:id="rId5"/>
    <sheet name="Voff Error" sheetId="15" r:id="rId6"/>
    <sheet name="Ibias Error" sheetId="18" r:id="rId7"/>
    <sheet name="Ro, CLoad, Riso" sheetId="25" r:id="rId8"/>
    <sheet name="Cstray, Ccomp" sheetId="26" r:id="rId9"/>
    <sheet name="fp23" sheetId="27" r:id="rId10"/>
    <sheet name="ecircuit links" sheetId="24" r:id="rId11"/>
  </sheets>
  <calcPr calcId="191029"/>
</workbook>
</file>

<file path=xl/calcChain.xml><?xml version="1.0" encoding="utf-8"?>
<calcChain xmlns="http://schemas.openxmlformats.org/spreadsheetml/2006/main">
  <c r="B35" i="27" l="1"/>
  <c r="B30" i="27"/>
  <c r="B27" i="27"/>
  <c r="B36" i="26"/>
  <c r="B40" i="26" s="1"/>
  <c r="B35" i="26"/>
  <c r="B32" i="26"/>
  <c r="B29" i="26"/>
  <c r="B52" i="25"/>
  <c r="B54" i="25" s="1"/>
  <c r="B51" i="25"/>
  <c r="B46" i="25"/>
  <c r="B48" i="25" s="1"/>
  <c r="B45" i="25"/>
  <c r="B33" i="25"/>
  <c r="B36" i="25" s="1"/>
  <c r="B30" i="25"/>
  <c r="B26" i="25"/>
  <c r="B47" i="25" l="1"/>
  <c r="B53" i="25"/>
  <c r="B14" i="23"/>
  <c r="B13" i="23"/>
  <c r="B25" i="22"/>
  <c r="B19" i="22"/>
  <c r="B12" i="22"/>
  <c r="B38" i="21"/>
  <c r="B39" i="21" s="1"/>
  <c r="B17" i="21"/>
  <c r="B20" i="20"/>
  <c r="B23" i="20" s="1"/>
  <c r="B25" i="20" s="1"/>
  <c r="B26" i="20" s="1"/>
  <c r="B17" i="20"/>
  <c r="B14" i="20"/>
  <c r="B20" i="19"/>
  <c r="B21" i="19" s="1"/>
  <c r="B17" i="19"/>
  <c r="B26" i="19" s="1"/>
  <c r="B14" i="19"/>
  <c r="B25" i="19" s="1"/>
  <c r="B7" i="19"/>
  <c r="B27" i="19" l="1"/>
  <c r="B30" i="19"/>
  <c r="B24" i="18" l="1"/>
  <c r="B16" i="18"/>
  <c r="B20" i="18" s="1"/>
  <c r="B15" i="18"/>
  <c r="B19" i="18" s="1"/>
  <c r="B21" i="18" s="1"/>
  <c r="B12" i="15" l="1"/>
  <c r="B15" i="15" s="1"/>
</calcChain>
</file>

<file path=xl/sharedStrings.xml><?xml version="1.0" encoding="utf-8"?>
<sst xmlns="http://schemas.openxmlformats.org/spreadsheetml/2006/main" count="256" uniqueCount="200">
  <si>
    <t>R2</t>
  </si>
  <si>
    <t>R1</t>
  </si>
  <si>
    <t>Input offset voltage</t>
  </si>
  <si>
    <t>voff</t>
  </si>
  <si>
    <t>vo_voff</t>
  </si>
  <si>
    <t>Input bias Current</t>
  </si>
  <si>
    <t>ibp</t>
  </si>
  <si>
    <t>ibn</t>
  </si>
  <si>
    <t>Rs</t>
  </si>
  <si>
    <t>Frreback and Source R</t>
  </si>
  <si>
    <t>vo_Ibp</t>
  </si>
  <si>
    <t>vo_Ibn</t>
  </si>
  <si>
    <t>vo_Ibp + vo_Ibn</t>
  </si>
  <si>
    <t>-R2</t>
  </si>
  <si>
    <t>Calc Rs for Ibp, Ibn output cancellation</t>
  </si>
  <si>
    <t>Rs*(R2+R1)/R1</t>
  </si>
  <si>
    <t>vo_Ib   (total)</t>
  </si>
  <si>
    <t>Check for cancellation (vo_Ib should be very small)</t>
  </si>
  <si>
    <t>(R2+R1)/R1</t>
  </si>
  <si>
    <t>Enter values</t>
  </si>
  <si>
    <t>Calc values</t>
  </si>
  <si>
    <t>Feedback and Source R</t>
  </si>
  <si>
    <t>Voff Offset Error</t>
  </si>
  <si>
    <t>Ibias Offset Error</t>
  </si>
  <si>
    <t>neg input bias current</t>
  </si>
  <si>
    <t>K_ibp = vo/Ibp</t>
  </si>
  <si>
    <t>K_ibn = vo/Ibn</t>
  </si>
  <si>
    <t>Error Gains</t>
  </si>
  <si>
    <t>Error Gain</t>
  </si>
  <si>
    <t>K_voff = vo/voff</t>
  </si>
  <si>
    <t>Output Error</t>
  </si>
  <si>
    <t>Ibp*K_ibp</t>
  </si>
  <si>
    <t>Ibp*K_ibn</t>
  </si>
  <si>
    <t>voff*K_voff</t>
  </si>
  <si>
    <t>pos input bias current</t>
  </si>
  <si>
    <t>R1||R2 = 1/(1/R1+1/R2)</t>
  </si>
  <si>
    <t>Copy this calculated Rs, paste into Rs above</t>
  </si>
  <si>
    <t>Op Amp - Open Loop Gain</t>
  </si>
  <si>
    <t>Enter data</t>
  </si>
  <si>
    <t>Calc results</t>
  </si>
  <si>
    <t>Open Loop Gain</t>
  </si>
  <si>
    <t>Aol</t>
  </si>
  <si>
    <t>Aol dB</t>
  </si>
  <si>
    <t>20*LOG(Aol)</t>
  </si>
  <si>
    <t>Feedback</t>
  </si>
  <si>
    <t>Signal Gain Ks = vo/vs</t>
  </si>
  <si>
    <t>Ks</t>
  </si>
  <si>
    <t>Feedback Factor B = vfb / vo</t>
  </si>
  <si>
    <t>B</t>
  </si>
  <si>
    <t>R1/(R1+R2)</t>
  </si>
  <si>
    <t>Voltage Error</t>
  </si>
  <si>
    <t>1/(Aol*B)    ratio</t>
  </si>
  <si>
    <t>1/(Aol*B)   %</t>
  </si>
  <si>
    <t>Input and output</t>
  </si>
  <si>
    <t>vs</t>
  </si>
  <si>
    <t>vo ideal</t>
  </si>
  <si>
    <t>vo actual</t>
  </si>
  <si>
    <t>vo=vs*A/(1+A*B)</t>
  </si>
  <si>
    <t>vo_err</t>
  </si>
  <si>
    <t>Error Estimation</t>
  </si>
  <si>
    <t>vo_err est</t>
  </si>
  <si>
    <t>Op Amp - Unity Gain Frequency (fu)</t>
  </si>
  <si>
    <t>Device Gain, BW</t>
  </si>
  <si>
    <t>fu</t>
  </si>
  <si>
    <t>unity gain freq</t>
  </si>
  <si>
    <t>Feedback R</t>
  </si>
  <si>
    <t>Non-Inverting Signal Gain Ks = vo/vs</t>
  </si>
  <si>
    <t>Inverting Signal Gain Ks = vo/vs</t>
  </si>
  <si>
    <t>;R2/R1</t>
  </si>
  <si>
    <t>Noise Gain Kn = vo/vs</t>
  </si>
  <si>
    <t>Kn</t>
  </si>
  <si>
    <t>Closed Loop Bandwidth</t>
  </si>
  <si>
    <t>fcl</t>
  </si>
  <si>
    <t>fu / Kn</t>
  </si>
  <si>
    <t>(both inv or non-inv amps)</t>
  </si>
  <si>
    <t>tr63% = Tau</t>
  </si>
  <si>
    <t>1/(2*pi*fcl)</t>
  </si>
  <si>
    <t>tr1090% = 2.2*Tau</t>
  </si>
  <si>
    <t>Max Slew Rates for Sine and Exp</t>
  </si>
  <si>
    <t>Sinewave</t>
  </si>
  <si>
    <t>f</t>
  </si>
  <si>
    <t>vpeak</t>
  </si>
  <si>
    <t>slew max (V/us)</t>
  </si>
  <si>
    <t>dv/dt max = 2*pi*f*Vpeak</t>
  </si>
  <si>
    <t>Exponential (single-pole response)</t>
  </si>
  <si>
    <t>fc</t>
  </si>
  <si>
    <t>bandwidth, -3dB freq</t>
  </si>
  <si>
    <t>vstep</t>
  </si>
  <si>
    <t>Tau</t>
  </si>
  <si>
    <t>1/(2*pi*fc)</t>
  </si>
  <si>
    <t>dv/dt max = Vstep / Tau</t>
  </si>
  <si>
    <t>Output Current Limit</t>
  </si>
  <si>
    <t>typical BJT output stage</t>
  </si>
  <si>
    <t>Ilim</t>
  </si>
  <si>
    <t>Max Vout</t>
  </si>
  <si>
    <t>Vo_max</t>
  </si>
  <si>
    <t>Minimum Rload</t>
  </si>
  <si>
    <t>Rload_min</t>
  </si>
  <si>
    <t>Vo_max / Io_max</t>
  </si>
  <si>
    <t>Amp Power with Output Shorted to GND Vo=0V (pos vo)</t>
  </si>
  <si>
    <t>Vcc</t>
  </si>
  <si>
    <t>Vee</t>
  </si>
  <si>
    <t>Is</t>
  </si>
  <si>
    <t>op amp supply current</t>
  </si>
  <si>
    <t>P_max (W)</t>
  </si>
  <si>
    <t>(Vcc*Io_max) + Is*(Vcc-Vee)</t>
  </si>
  <si>
    <t>Example - Estimated Current Limit</t>
  </si>
  <si>
    <t>Vbe_Q9</t>
  </si>
  <si>
    <t>R5</t>
  </si>
  <si>
    <t>Io_max</t>
  </si>
  <si>
    <t>Vbe_Q9 / R5</t>
  </si>
  <si>
    <t>Output Voltage Limit</t>
  </si>
  <si>
    <t>Vlim</t>
  </si>
  <si>
    <t>Vlim = minimum (Vcc - Vout)</t>
  </si>
  <si>
    <t>Supply Rails</t>
  </si>
  <si>
    <t>Max Output Signal</t>
  </si>
  <si>
    <t>Vcc - Vlim</t>
  </si>
  <si>
    <t>Vo_min</t>
  </si>
  <si>
    <t>Vee + Vlim</t>
  </si>
  <si>
    <t>eCircuit Center - Links</t>
  </si>
  <si>
    <t>www.ecircuitcenter.com</t>
  </si>
  <si>
    <t>Solve 10 Op Amp Design Issues using Custom Op Amp Models</t>
  </si>
  <si>
    <t>http://ecircuitcenter.com/LTSPICE/op_amp_series_1.html</t>
  </si>
  <si>
    <t>Circuit Collection (70+ topics)</t>
  </si>
  <si>
    <t>http://ecircuitcenter.com/Circuits.htm</t>
  </si>
  <si>
    <t>Home Page</t>
  </si>
  <si>
    <t>Ro, Cload - Add Riso for Stability</t>
  </si>
  <si>
    <t>Enter</t>
  </si>
  <si>
    <t>Calc</t>
  </si>
  <si>
    <t>Circuit</t>
  </si>
  <si>
    <t>Output and Load</t>
  </si>
  <si>
    <t>Ro</t>
  </si>
  <si>
    <t>Op amp output resistance</t>
  </si>
  <si>
    <t>Riso</t>
  </si>
  <si>
    <t>Isolation Resistor to make Cload less reactive</t>
  </si>
  <si>
    <t>Cload</t>
  </si>
  <si>
    <t>Load capacitance at op amp output</t>
  </si>
  <si>
    <t>NO Riso</t>
  </si>
  <si>
    <t xml:space="preserve">Pole:  Ro, Cload only </t>
  </si>
  <si>
    <t xml:space="preserve"> adds NEG phase (time) shift</t>
  </si>
  <si>
    <t>fp'</t>
  </si>
  <si>
    <t>1/(2*pi*Ro*Cload)</t>
  </si>
  <si>
    <t>ADD Riso</t>
  </si>
  <si>
    <t>Pole:  Ro+Riso, Cload</t>
  </si>
  <si>
    <t>fp</t>
  </si>
  <si>
    <t>1/(2*pi*(Ro+Riso)*Cload)</t>
  </si>
  <si>
    <t>Zero: Riso, Cload</t>
  </si>
  <si>
    <t xml:space="preserve"> adds POS phase (time) shift</t>
  </si>
  <si>
    <t>fz</t>
  </si>
  <si>
    <t>1/(2*pi*Riso*Cload)</t>
  </si>
  <si>
    <t>`</t>
  </si>
  <si>
    <t>Ratio of fz to fp.</t>
  </si>
  <si>
    <t>fz / fp</t>
  </si>
  <si>
    <t>Impedance (Zload) vs frequency</t>
  </si>
  <si>
    <t>f (low)</t>
  </si>
  <si>
    <t>check Zload at low frequency</t>
  </si>
  <si>
    <t>R (ohms)</t>
  </si>
  <si>
    <t>Xc (ohms)</t>
  </si>
  <si>
    <t>1/(2*pi*Cload)</t>
  </si>
  <si>
    <t>|Zload|</t>
  </si>
  <si>
    <t>(R^2+Xc^2)^0.5</t>
  </si>
  <si>
    <t>Phase (deg)</t>
  </si>
  <si>
    <t>-atan(Xc/R)*180/pi</t>
  </si>
  <si>
    <t>-90 is highly reactive.</t>
  </si>
  <si>
    <t>f (high)</t>
  </si>
  <si>
    <t>check Zload at high frequency</t>
  </si>
  <si>
    <t>should be smaller phase, less reactive.</t>
  </si>
  <si>
    <t>Op Amp Cstray Compensation</t>
  </si>
  <si>
    <t>C2  (Ccomp)</t>
  </si>
  <si>
    <t>Includes strays and added compensation cap</t>
  </si>
  <si>
    <t>C1  (Cstray)</t>
  </si>
  <si>
    <t>Cstray - includes op amp, traces, pads.</t>
  </si>
  <si>
    <t>Feedback Factor = vfb / vo</t>
  </si>
  <si>
    <t>Kfb</t>
  </si>
  <si>
    <t>Signal Gain = vo / vs</t>
  </si>
  <si>
    <t>(R1+R2)/R1</t>
  </si>
  <si>
    <t>Feedback Time constants</t>
  </si>
  <si>
    <t>Tau2</t>
  </si>
  <si>
    <t>R2*C2</t>
  </si>
  <si>
    <t>Tau1</t>
  </si>
  <si>
    <t>R1*C1</t>
  </si>
  <si>
    <t>Ccomp (C2) needed to compensate for Cstray (C1)</t>
  </si>
  <si>
    <t>C2 needed</t>
  </si>
  <si>
    <t>C2 = Tau1 / R2</t>
  </si>
  <si>
    <t>Plug this calculated value back into C2 (Ccomp) above.</t>
  </si>
  <si>
    <t>Is Tau1=Tau2?</t>
  </si>
  <si>
    <t>Op Amp 2nd, 3rd Poles</t>
  </si>
  <si>
    <t>Unity Gain Frequency - also called Gain Bandwidth Product (GBP)</t>
  </si>
  <si>
    <t>fp23</t>
  </si>
  <si>
    <t>Freq of 2nd and 3rd poles</t>
  </si>
  <si>
    <t>Phase from 2 poles (fp23) ar frequency fu</t>
  </si>
  <si>
    <t>Phase 2nd,3rd poles (deg)</t>
  </si>
  <si>
    <t>-atan( fu / fp23 ) * 2</t>
  </si>
  <si>
    <t>Phase Margin (how close to 0 deg or OSC!)</t>
  </si>
  <si>
    <t>PM</t>
  </si>
  <si>
    <t>90 - atan( fu / fp23 ) * 2</t>
  </si>
  <si>
    <t>Calculate fp23 given desired Phase Margin (PM) and fu</t>
  </si>
  <si>
    <t>Desired PM</t>
  </si>
  <si>
    <t>fp23 given fu above</t>
  </si>
  <si>
    <t xml:space="preserve"> fu / tan( -(PM-90)/2 )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</si>
</sst>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#,##0.0000"/>
    <numFmt numFmtId="166" formatCode="0.0000"/>
    <numFmt numFmtId="167" formatCode="0.000000"/>
    <numFmt numFmtId="168" formatCode="0.000"/>
    <numFmt numFmtId="169" formatCode="#,##0.000000"/>
    <numFmt numFmtId="170" formatCode="#,##0.0"/>
    <numFmt numFmtId="171" formatCode="0.0000000"/>
    <numFmt numFmtId="172" formatCode="#,##0.00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u/>
      <sz val="15.95"/>
      <color theme="10"/>
      <name val="Calibri"/>
      <family val="2"/>
    </font>
    <font>
      <i/>
      <u/>
      <sz val="10"/>
      <color theme="1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8" fillId="0" borderId="0" applyNumberFormat="0" applyFill="0" applyBorder="0" applyAlignment="0" applyProtection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7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11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0" xfId="0" quotePrefix="1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1" applyFont="1" applyAlignment="1">
      <alignment horizontal="left"/>
    </xf>
    <xf numFmtId="0" fontId="3" fillId="0" borderId="0" xfId="1" applyAlignment="1">
      <alignment horizontal="center"/>
    </xf>
    <xf numFmtId="0" fontId="3" fillId="0" borderId="0" xfId="1" applyAlignment="1">
      <alignment horizontal="left"/>
    </xf>
    <xf numFmtId="0" fontId="3" fillId="3" borderId="0" xfId="1" applyFill="1" applyAlignment="1">
      <alignment horizontal="center"/>
    </xf>
    <xf numFmtId="3" fontId="3" fillId="0" borderId="0" xfId="1" applyNumberFormat="1" applyAlignment="1">
      <alignment horizontal="center"/>
    </xf>
    <xf numFmtId="1" fontId="3" fillId="0" borderId="0" xfId="1" applyNumberFormat="1" applyAlignment="1">
      <alignment horizontal="center"/>
    </xf>
    <xf numFmtId="2" fontId="3" fillId="0" borderId="0" xfId="1" applyNumberFormat="1" applyAlignment="1">
      <alignment horizontal="center"/>
    </xf>
    <xf numFmtId="167" fontId="3" fillId="0" borderId="0" xfId="1" applyNumberFormat="1" applyAlignment="1">
      <alignment horizontal="center"/>
    </xf>
    <xf numFmtId="164" fontId="3" fillId="0" borderId="0" xfId="1" applyNumberFormat="1" applyAlignment="1">
      <alignment horizontal="center"/>
    </xf>
    <xf numFmtId="168" fontId="3" fillId="0" borderId="0" xfId="1" applyNumberFormat="1" applyAlignment="1">
      <alignment horizontal="center"/>
    </xf>
    <xf numFmtId="169" fontId="3" fillId="0" borderId="0" xfId="1" applyNumberFormat="1" applyAlignment="1">
      <alignment horizontal="center"/>
    </xf>
    <xf numFmtId="170" fontId="3" fillId="0" borderId="0" xfId="1" applyNumberFormat="1" applyAlignment="1">
      <alignment horizontal="center"/>
    </xf>
    <xf numFmtId="0" fontId="3" fillId="4" borderId="0" xfId="1" applyFill="1" applyAlignment="1">
      <alignment horizontal="center"/>
    </xf>
    <xf numFmtId="171" fontId="3" fillId="0" borderId="0" xfId="1" applyNumberFormat="1" applyAlignment="1">
      <alignment horizontal="center"/>
    </xf>
    <xf numFmtId="0" fontId="3" fillId="0" borderId="0" xfId="1" quotePrefix="1" applyAlignment="1">
      <alignment horizontal="left"/>
    </xf>
    <xf numFmtId="11" fontId="3" fillId="0" borderId="0" xfId="1" applyNumberFormat="1" applyAlignment="1">
      <alignment horizontal="center"/>
    </xf>
    <xf numFmtId="170" fontId="0" fillId="0" borderId="0" xfId="0" applyNumberFormat="1" applyAlignment="1">
      <alignment horizontal="center"/>
    </xf>
    <xf numFmtId="0" fontId="5" fillId="0" borderId="0" xfId="1" applyFont="1" applyAlignment="1">
      <alignment horizontal="left"/>
    </xf>
    <xf numFmtId="0" fontId="7" fillId="0" borderId="0" xfId="1" applyFont="1" applyAlignment="1">
      <alignment horizontal="left"/>
    </xf>
    <xf numFmtId="172" fontId="3" fillId="0" borderId="0" xfId="1" applyNumberFormat="1" applyAlignment="1">
      <alignment horizontal="center"/>
    </xf>
    <xf numFmtId="4" fontId="3" fillId="0" borderId="0" xfId="1" applyNumberFormat="1" applyAlignment="1">
      <alignment horizontal="center"/>
    </xf>
    <xf numFmtId="0" fontId="5" fillId="0" borderId="0" xfId="0" applyFont="1"/>
    <xf numFmtId="0" fontId="8" fillId="0" borderId="0" xfId="2"/>
    <xf numFmtId="0" fontId="5" fillId="0" borderId="0" xfId="3" applyFont="1"/>
    <xf numFmtId="0" fontId="9" fillId="0" borderId="0" xfId="3" applyFont="1"/>
    <xf numFmtId="0" fontId="3" fillId="5" borderId="0" xfId="3" applyFont="1" applyFill="1"/>
    <xf numFmtId="0" fontId="3" fillId="0" borderId="0" xfId="3" applyFont="1"/>
    <xf numFmtId="0" fontId="11" fillId="0" borderId="0" xfId="4" applyFont="1" applyFill="1" applyBorder="1" applyAlignment="1" applyProtection="1"/>
    <xf numFmtId="0" fontId="2" fillId="0" borderId="0" xfId="3" applyFont="1"/>
    <xf numFmtId="0" fontId="3" fillId="4" borderId="0" xfId="3" applyFont="1" applyFill="1"/>
    <xf numFmtId="0" fontId="12" fillId="0" borderId="0" xfId="3" applyFont="1"/>
    <xf numFmtId="11" fontId="3" fillId="0" borderId="0" xfId="3" applyNumberFormat="1" applyFont="1" applyAlignment="1">
      <alignment horizontal="center"/>
    </xf>
    <xf numFmtId="0" fontId="3" fillId="0" borderId="0" xfId="3" applyFont="1" applyAlignment="1">
      <alignment horizontal="center"/>
    </xf>
    <xf numFmtId="0" fontId="13" fillId="0" borderId="0" xfId="3" applyFont="1"/>
    <xf numFmtId="0" fontId="7" fillId="0" borderId="0" xfId="3" applyFont="1"/>
    <xf numFmtId="3" fontId="9" fillId="0" borderId="0" xfId="3" applyNumberFormat="1" applyFont="1" applyAlignment="1">
      <alignment horizontal="center"/>
    </xf>
    <xf numFmtId="0" fontId="3" fillId="0" borderId="0" xfId="3" applyFont="1" applyAlignment="1">
      <alignment horizontal="left"/>
    </xf>
    <xf numFmtId="164" fontId="3" fillId="0" borderId="0" xfId="3" applyNumberFormat="1" applyFont="1" applyAlignment="1">
      <alignment horizontal="center"/>
    </xf>
    <xf numFmtId="0" fontId="3" fillId="5" borderId="0" xfId="3" applyFont="1" applyFill="1" applyAlignment="1">
      <alignment horizontal="center"/>
    </xf>
    <xf numFmtId="0" fontId="6" fillId="0" borderId="0" xfId="3" applyFont="1"/>
    <xf numFmtId="1" fontId="9" fillId="0" borderId="0" xfId="3" applyNumberFormat="1" applyFont="1" applyAlignment="1">
      <alignment horizontal="center"/>
    </xf>
    <xf numFmtId="0" fontId="6" fillId="0" borderId="0" xfId="3" quotePrefix="1" applyFont="1"/>
    <xf numFmtId="0" fontId="14" fillId="0" borderId="0" xfId="3" quotePrefix="1" applyFont="1"/>
    <xf numFmtId="0" fontId="2" fillId="0" borderId="0" xfId="5" applyFont="1" applyAlignment="1">
      <alignment horizontal="left"/>
    </xf>
    <xf numFmtId="0" fontId="3" fillId="0" borderId="0" xfId="5" applyAlignment="1">
      <alignment horizontal="center"/>
    </xf>
    <xf numFmtId="0" fontId="3" fillId="0" borderId="0" xfId="5" applyAlignment="1">
      <alignment horizontal="left"/>
    </xf>
    <xf numFmtId="0" fontId="3" fillId="3" borderId="0" xfId="5" applyFill="1" applyAlignment="1">
      <alignment horizontal="center"/>
    </xf>
    <xf numFmtId="0" fontId="3" fillId="2" borderId="0" xfId="5" applyFill="1" applyAlignment="1">
      <alignment horizontal="center"/>
    </xf>
    <xf numFmtId="0" fontId="4" fillId="0" borderId="0" xfId="5" applyFont="1" applyAlignment="1">
      <alignment horizontal="center"/>
    </xf>
    <xf numFmtId="3" fontId="3" fillId="0" borderId="0" xfId="5" applyNumberFormat="1" applyAlignment="1">
      <alignment horizontal="center"/>
    </xf>
    <xf numFmtId="11" fontId="3" fillId="0" borderId="0" xfId="5" applyNumberFormat="1" applyAlignment="1">
      <alignment horizontal="center"/>
    </xf>
    <xf numFmtId="2" fontId="3" fillId="0" borderId="0" xfId="5" applyNumberFormat="1" applyAlignment="1">
      <alignment horizontal="center"/>
    </xf>
    <xf numFmtId="164" fontId="3" fillId="0" borderId="0" xfId="5" applyNumberFormat="1" applyAlignment="1">
      <alignment horizontal="center"/>
    </xf>
    <xf numFmtId="168" fontId="3" fillId="0" borderId="0" xfId="5" applyNumberFormat="1" applyAlignment="1">
      <alignment horizontal="center"/>
    </xf>
    <xf numFmtId="167" fontId="3" fillId="0" borderId="0" xfId="5" applyNumberFormat="1" applyAlignment="1">
      <alignment horizontal="center"/>
    </xf>
    <xf numFmtId="0" fontId="1" fillId="0" borderId="0" xfId="3"/>
    <xf numFmtId="0" fontId="3" fillId="3" borderId="0" xfId="5" applyFill="1" applyAlignment="1">
      <alignment horizontal="left"/>
    </xf>
    <xf numFmtId="0" fontId="3" fillId="2" borderId="0" xfId="5" applyFill="1" applyAlignment="1">
      <alignment horizontal="left"/>
    </xf>
    <xf numFmtId="0" fontId="15" fillId="0" borderId="0" xfId="5" quotePrefix="1" applyFont="1"/>
  </cellXfs>
  <cellStyles count="6">
    <cellStyle name="Hyperlink 2" xfId="2" xr:uid="{B2380976-7887-4E50-8528-DFFE30A2C9DC}"/>
    <cellStyle name="Hyperlink 3" xfId="4" xr:uid="{C9AC42E4-80CF-4A84-BD3D-2544A20C2852}"/>
    <cellStyle name="Normal" xfId="0" builtinId="0"/>
    <cellStyle name="Normal 2" xfId="1" xr:uid="{3FD36478-956F-468B-95FB-8AED9744B4F2}"/>
    <cellStyle name="Normal 3" xfId="3" xr:uid="{CE04809F-7BE9-48B6-A691-969B92173171}"/>
    <cellStyle name="Normal 3 2" xfId="5" xr:uid="{9D226E6D-A988-434F-82C1-44C69CD6630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'Op Amp'!#REF!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95C-4158-9A81-6F7F64B60383}"/>
            </c:ext>
          </c:extLst>
        </c:ser>
        <c:ser>
          <c:idx val="1"/>
          <c:order val="1"/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'Op Amp'!#REF!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C95C-4158-9A81-6F7F64B603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5300272"/>
        <c:axId val="1"/>
      </c:scatterChart>
      <c:valAx>
        <c:axId val="545300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5300272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'Op Amp'!#REF!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F77-4298-B7C0-EC7DD974EA37}"/>
            </c:ext>
          </c:extLst>
        </c:ser>
        <c:ser>
          <c:idx val="1"/>
          <c:order val="1"/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'Op Amp'!#REF!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9F77-4298-B7C0-EC7DD974EA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5545312"/>
        <c:axId val="1"/>
      </c:scatterChart>
      <c:valAx>
        <c:axId val="54554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5545312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'Op Amp'!#REF!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753-4B8B-8B7A-953DC6F83BAE}"/>
            </c:ext>
          </c:extLst>
        </c:ser>
        <c:ser>
          <c:idx val="1"/>
          <c:order val="1"/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'Op Amp'!#REF!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1753-4B8B-8B7A-953DC6F83B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5545312"/>
        <c:axId val="1"/>
      </c:scatterChart>
      <c:valAx>
        <c:axId val="54554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5545312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'Op Amp'!#REF!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780-4B49-8F2B-342F2DBB1FA5}"/>
            </c:ext>
          </c:extLst>
        </c:ser>
        <c:ser>
          <c:idx val="1"/>
          <c:order val="1"/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'Op Amp'!#REF!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8780-4B49-8F2B-342F2DBB1F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5545312"/>
        <c:axId val="1"/>
      </c:scatterChart>
      <c:valAx>
        <c:axId val="54554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5545312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'Op Amp'!#REF!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FCD-4DDE-965D-63CC8726AEE7}"/>
            </c:ext>
          </c:extLst>
        </c:ser>
        <c:ser>
          <c:idx val="1"/>
          <c:order val="1"/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'Op Amp'!#REF!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1FCD-4DDE-965D-63CC8726AE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5545312"/>
        <c:axId val="1"/>
      </c:scatterChart>
      <c:valAx>
        <c:axId val="54554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5545312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'Op Amp'!#REF!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15E-4CF9-9885-3F3EF12D5BEA}"/>
            </c:ext>
          </c:extLst>
        </c:ser>
        <c:ser>
          <c:idx val="1"/>
          <c:order val="1"/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'Op Amp'!#REF!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D15E-4CF9-9885-3F3EF12D5B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5300272"/>
        <c:axId val="1"/>
      </c:scatterChart>
      <c:valAx>
        <c:axId val="545300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5300272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B46D13D-EA5E-4F3A-A1A0-334576F82C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5F0EE68-5897-42D5-BE9F-61EF0CB60C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33130</xdr:colOff>
      <xdr:row>4</xdr:row>
      <xdr:rowOff>63832</xdr:rowOff>
    </xdr:from>
    <xdr:to>
      <xdr:col>9</xdr:col>
      <xdr:colOff>504024</xdr:colOff>
      <xdr:row>19</xdr:row>
      <xdr:rowOff>53341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5A48A67-8BD0-4516-AA13-2E4066B0A0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939"/>
        <a:stretch/>
      </xdr:blipFill>
      <xdr:spPr>
        <a:xfrm>
          <a:off x="3180190" y="734392"/>
          <a:ext cx="3595094" cy="25041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C8A0EAC-A61D-4D3A-8A6E-07A427AC7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6</xdr:row>
      <xdr:rowOff>0</xdr:rowOff>
    </xdr:from>
    <xdr:to>
      <xdr:col>9</xdr:col>
      <xdr:colOff>470894</xdr:colOff>
      <xdr:row>20</xdr:row>
      <xdr:rowOff>134773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867EB4-3F0E-41E6-B776-76EDDE87A8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39"/>
        <a:stretch/>
      </xdr:blipFill>
      <xdr:spPr>
        <a:xfrm>
          <a:off x="3284220" y="1005840"/>
          <a:ext cx="3595094" cy="24817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530087</xdr:colOff>
      <xdr:row>25</xdr:row>
      <xdr:rowOff>0</xdr:rowOff>
    </xdr:from>
    <xdr:to>
      <xdr:col>2</xdr:col>
      <xdr:colOff>525263</xdr:colOff>
      <xdr:row>33</xdr:row>
      <xdr:rowOff>106847</xdr:rowOff>
    </xdr:to>
    <xdr:pic>
      <xdr:nvPicPr>
        <xdr:cNvPr id="2" name="Picture 1" descr="Hyperbolic and exponential discounting - Interactive Mathematics">
          <a:extLst>
            <a:ext uri="{FF2B5EF4-FFF2-40B4-BE49-F238E27FC236}">
              <a16:creationId xmlns:a16="http://schemas.microsoft.com/office/drawing/2014/main" id="{2796EAAD-B359-4CC4-B9EA-B3B39BBB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087" y="4221480"/>
          <a:ext cx="1892556" cy="14479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626241</xdr:colOff>
      <xdr:row>26</xdr:row>
      <xdr:rowOff>16566</xdr:rowOff>
    </xdr:from>
    <xdr:to>
      <xdr:col>0</xdr:col>
      <xdr:colOff>833783</xdr:colOff>
      <xdr:row>34</xdr:row>
      <xdr:rowOff>13138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28522C8-C420-474C-AE55-703549556B3D}"/>
            </a:ext>
          </a:extLst>
        </xdr:cNvPr>
        <xdr:cNvCxnSpPr/>
      </xdr:nvCxnSpPr>
      <xdr:spPr bwMode="auto">
        <a:xfrm flipV="1">
          <a:off x="626241" y="4405686"/>
          <a:ext cx="207542" cy="1337692"/>
        </a:xfrm>
        <a:prstGeom prst="line">
          <a:avLst/>
        </a:prstGeom>
        <a:solidFill>
          <a:srgbClr val="FFFFFF"/>
        </a:solidFill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55217</xdr:colOff>
      <xdr:row>26</xdr:row>
      <xdr:rowOff>138044</xdr:rowOff>
    </xdr:from>
    <xdr:to>
      <xdr:col>2</xdr:col>
      <xdr:colOff>83206</xdr:colOff>
      <xdr:row>28</xdr:row>
      <xdr:rowOff>93870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E1628DE-9EB9-4D42-A97E-82C7698BFF3E}"/>
            </a:ext>
          </a:extLst>
        </xdr:cNvPr>
        <xdr:cNvSpPr txBox="1"/>
      </xdr:nvSpPr>
      <xdr:spPr>
        <a:xfrm>
          <a:off x="1061057" y="4527164"/>
          <a:ext cx="919529" cy="2911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en-US" sz="1100">
              <a:solidFill>
                <a:srgbClr val="C00000"/>
              </a:solidFill>
            </a:rPr>
            <a:t>max slew (red)</a:t>
          </a:r>
        </a:p>
      </xdr:txBody>
    </xdr:sp>
    <xdr:clientData/>
  </xdr:twoCellAnchor>
  <xdr:twoCellAnchor editAs="oneCell">
    <xdr:from>
      <xdr:col>0</xdr:col>
      <xdr:colOff>449265</xdr:colOff>
      <xdr:row>3</xdr:row>
      <xdr:rowOff>120650</xdr:rowOff>
    </xdr:from>
    <xdr:to>
      <xdr:col>2</xdr:col>
      <xdr:colOff>488951</xdr:colOff>
      <xdr:row>12</xdr:row>
      <xdr:rowOff>114588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2B63107-1CB4-4C4B-AFE9-632B2EEFE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65" y="654050"/>
          <a:ext cx="1937066" cy="15026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342024</xdr:colOff>
      <xdr:row>5</xdr:row>
      <xdr:rowOff>53646</xdr:rowOff>
    </xdr:from>
    <xdr:to>
      <xdr:col>0</xdr:col>
      <xdr:colOff>710324</xdr:colOff>
      <xdr:row>10</xdr:row>
      <xdr:rowOff>162910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861A0F0E-7A9A-4052-98DC-A2DD9FAFBCF5}"/>
            </a:ext>
          </a:extLst>
        </xdr:cNvPr>
        <xdr:cNvCxnSpPr/>
      </xdr:nvCxnSpPr>
      <xdr:spPr bwMode="auto">
        <a:xfrm flipV="1">
          <a:off x="342024" y="922326"/>
          <a:ext cx="368300" cy="947464"/>
        </a:xfrm>
        <a:prstGeom prst="line">
          <a:avLst/>
        </a:prstGeom>
        <a:solidFill>
          <a:srgbClr val="FFFFFF"/>
        </a:solidFill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963448</xdr:colOff>
      <xdr:row>5</xdr:row>
      <xdr:rowOff>61310</xdr:rowOff>
    </xdr:from>
    <xdr:to>
      <xdr:col>1</xdr:col>
      <xdr:colOff>275458</xdr:colOff>
      <xdr:row>11</xdr:row>
      <xdr:rowOff>22992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73F87B94-074A-45E1-8C58-DC690466826C}"/>
            </a:ext>
          </a:extLst>
        </xdr:cNvPr>
        <xdr:cNvCxnSpPr/>
      </xdr:nvCxnSpPr>
      <xdr:spPr bwMode="auto">
        <a:xfrm flipH="1" flipV="1">
          <a:off x="963448" y="929990"/>
          <a:ext cx="317850" cy="967522"/>
        </a:xfrm>
        <a:prstGeom prst="line">
          <a:avLst/>
        </a:prstGeom>
        <a:solidFill>
          <a:srgbClr val="FFFFFF"/>
        </a:solidFill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619272</xdr:colOff>
      <xdr:row>10</xdr:row>
      <xdr:rowOff>5789</xdr:rowOff>
    </xdr:from>
    <xdr:to>
      <xdr:col>3</xdr:col>
      <xdr:colOff>12261</xdr:colOff>
      <xdr:row>11</xdr:row>
      <xdr:rowOff>110511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4C5726F-1660-465A-B856-6BBEBE2AC758}"/>
            </a:ext>
          </a:extLst>
        </xdr:cNvPr>
        <xdr:cNvSpPr txBox="1"/>
      </xdr:nvSpPr>
      <xdr:spPr>
        <a:xfrm>
          <a:off x="1625112" y="1712669"/>
          <a:ext cx="909369" cy="2723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en-US" sz="1100">
              <a:solidFill>
                <a:srgbClr val="C00000"/>
              </a:solidFill>
            </a:rPr>
            <a:t>max slew (red)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DFEA477-B7BB-411B-A38D-B3032D6F30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64328</xdr:colOff>
      <xdr:row>5</xdr:row>
      <xdr:rowOff>54942</xdr:rowOff>
    </xdr:from>
    <xdr:to>
      <xdr:col>6</xdr:col>
      <xdr:colOff>607713</xdr:colOff>
      <xdr:row>17</xdr:row>
      <xdr:rowOff>4142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1A1085-57B8-479D-96EC-27EF87FEB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26628" y="923622"/>
          <a:ext cx="1793065" cy="1960880"/>
        </a:xfrm>
        <a:prstGeom prst="rect">
          <a:avLst/>
        </a:prstGeom>
      </xdr:spPr>
    </xdr:pic>
    <xdr:clientData/>
  </xdr:twoCellAnchor>
  <xdr:twoCellAnchor>
    <xdr:from>
      <xdr:col>6</xdr:col>
      <xdr:colOff>273878</xdr:colOff>
      <xdr:row>7</xdr:row>
      <xdr:rowOff>4141</xdr:rowOff>
    </xdr:from>
    <xdr:to>
      <xdr:col>6</xdr:col>
      <xdr:colOff>273878</xdr:colOff>
      <xdr:row>15</xdr:row>
      <xdr:rowOff>107122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771AC316-B5CB-4525-AB5D-AB432A80FD73}"/>
            </a:ext>
          </a:extLst>
        </xdr:cNvPr>
        <xdr:cNvCxnSpPr/>
      </xdr:nvCxnSpPr>
      <xdr:spPr bwMode="auto">
        <a:xfrm flipV="1">
          <a:off x="4685858" y="1208101"/>
          <a:ext cx="0" cy="1444101"/>
        </a:xfrm>
        <a:prstGeom prst="straightConnector1">
          <a:avLst/>
        </a:prstGeom>
        <a:solidFill>
          <a:srgbClr val="FFFFFF"/>
        </a:solidFill>
        <a:ln w="28575" cap="flat" cmpd="sng" algn="ctr">
          <a:solidFill>
            <a:srgbClr val="C00000"/>
          </a:solidFill>
          <a:prstDash val="solid"/>
          <a:round/>
          <a:headEnd type="none" w="med" len="med"/>
          <a:tailEnd type="none"/>
        </a:ln>
        <a:effectLst/>
      </xdr:spPr>
    </xdr:cxnSp>
    <xdr:clientData/>
  </xdr:twoCellAnchor>
  <xdr:twoCellAnchor>
    <xdr:from>
      <xdr:col>6</xdr:col>
      <xdr:colOff>296241</xdr:colOff>
      <xdr:row>13</xdr:row>
      <xdr:rowOff>44450</xdr:rowOff>
    </xdr:from>
    <xdr:to>
      <xdr:col>7</xdr:col>
      <xdr:colOff>425450</xdr:colOff>
      <xdr:row>15</xdr:row>
      <xdr:rowOff>89262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846386A-8829-4BC8-85D7-AA51CDEC40E3}"/>
            </a:ext>
          </a:extLst>
        </xdr:cNvPr>
        <xdr:cNvSpPr txBox="1"/>
      </xdr:nvSpPr>
      <xdr:spPr>
        <a:xfrm>
          <a:off x="4708221" y="2254250"/>
          <a:ext cx="754049" cy="3800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en-US" sz="1200" b="1">
              <a:solidFill>
                <a:srgbClr val="C00000"/>
              </a:solidFill>
            </a:rPr>
            <a:t>Io_max</a:t>
          </a:r>
        </a:p>
      </xdr:txBody>
    </xdr:sp>
    <xdr:clientData/>
  </xdr:twoCellAnchor>
  <xdr:twoCellAnchor>
    <xdr:from>
      <xdr:col>6</xdr:col>
      <xdr:colOff>261178</xdr:colOff>
      <xdr:row>15</xdr:row>
      <xdr:rowOff>88072</xdr:rowOff>
    </xdr:from>
    <xdr:to>
      <xdr:col>7</xdr:col>
      <xdr:colOff>304800</xdr:colOff>
      <xdr:row>15</xdr:row>
      <xdr:rowOff>95250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905902AF-5652-42FD-9FDD-CA7E40F589BC}"/>
            </a:ext>
          </a:extLst>
        </xdr:cNvPr>
        <xdr:cNvCxnSpPr/>
      </xdr:nvCxnSpPr>
      <xdr:spPr bwMode="auto">
        <a:xfrm flipH="1" flipV="1">
          <a:off x="4673158" y="2633152"/>
          <a:ext cx="668462" cy="7178"/>
        </a:xfrm>
        <a:prstGeom prst="straightConnector1">
          <a:avLst/>
        </a:prstGeom>
        <a:solidFill>
          <a:srgbClr val="FFFFFF"/>
        </a:solidFill>
        <a:ln w="28575" cap="flat" cmpd="sng" algn="ctr">
          <a:solidFill>
            <a:srgbClr val="C00000"/>
          </a:solidFill>
          <a:prstDash val="solid"/>
          <a:round/>
          <a:headEnd type="triangle" w="med" len="med"/>
          <a:tailEnd type="none"/>
        </a:ln>
        <a:effectLst/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BB056E5-BDD3-4D11-978A-8B6E34CF37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12700</xdr:colOff>
      <xdr:row>8</xdr:row>
      <xdr:rowOff>82551</xdr:rowOff>
    </xdr:from>
    <xdr:to>
      <xdr:col>6</xdr:col>
      <xdr:colOff>556085</xdr:colOff>
      <xdr:row>20</xdr:row>
      <xdr:rowOff>31751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05B1C0-76B2-4FF4-9421-9C6FC2AE8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96920" y="1454151"/>
          <a:ext cx="1793065" cy="1960880"/>
        </a:xfrm>
        <a:prstGeom prst="rect">
          <a:avLst/>
        </a:prstGeom>
      </xdr:spPr>
    </xdr:pic>
    <xdr:clientData/>
  </xdr:twoCellAnchor>
  <xdr:twoCellAnchor>
    <xdr:from>
      <xdr:col>6</xdr:col>
      <xdr:colOff>222250</xdr:colOff>
      <xdr:row>10</xdr:row>
      <xdr:rowOff>25400</xdr:rowOff>
    </xdr:from>
    <xdr:to>
      <xdr:col>6</xdr:col>
      <xdr:colOff>222250</xdr:colOff>
      <xdr:row>18</xdr:row>
      <xdr:rowOff>127000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3406E6E7-7F1A-4588-845F-3ACA28FDBC48}"/>
            </a:ext>
          </a:extLst>
        </xdr:cNvPr>
        <xdr:cNvCxnSpPr/>
      </xdr:nvCxnSpPr>
      <xdr:spPr bwMode="auto">
        <a:xfrm flipV="1">
          <a:off x="4756150" y="1732280"/>
          <a:ext cx="0" cy="1442720"/>
        </a:xfrm>
        <a:prstGeom prst="straightConnector1">
          <a:avLst/>
        </a:prstGeom>
        <a:solidFill>
          <a:srgbClr val="FFFFFF"/>
        </a:solidFill>
        <a:ln w="28575" cap="flat" cmpd="sng" algn="ctr">
          <a:solidFill>
            <a:srgbClr val="C00000"/>
          </a:solidFill>
          <a:prstDash val="solid"/>
          <a:round/>
          <a:headEnd type="triangle" w="med" len="med"/>
          <a:tailEnd type="triangle"/>
        </a:ln>
        <a:effectLst/>
      </xdr:spPr>
    </xdr:cxnSp>
    <xdr:clientData/>
  </xdr:twoCellAnchor>
  <xdr:twoCellAnchor>
    <xdr:from>
      <xdr:col>6</xdr:col>
      <xdr:colOff>171450</xdr:colOff>
      <xdr:row>13</xdr:row>
      <xdr:rowOff>25400</xdr:rowOff>
    </xdr:from>
    <xdr:to>
      <xdr:col>7</xdr:col>
      <xdr:colOff>470004</xdr:colOff>
      <xdr:row>14</xdr:row>
      <xdr:rowOff>137025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9FC129A-76E0-4BB8-92CB-104ECF53472E}"/>
            </a:ext>
          </a:extLst>
        </xdr:cNvPr>
        <xdr:cNvSpPr txBox="1"/>
      </xdr:nvSpPr>
      <xdr:spPr>
        <a:xfrm>
          <a:off x="4705350" y="2235200"/>
          <a:ext cx="923394" cy="2792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en-US" sz="1200" b="1">
              <a:solidFill>
                <a:srgbClr val="C00000"/>
              </a:solidFill>
            </a:rPr>
            <a:t>(Vcc - Vout)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177801</xdr:colOff>
      <xdr:row>4</xdr:row>
      <xdr:rowOff>57150</xdr:rowOff>
    </xdr:from>
    <xdr:to>
      <xdr:col>9</xdr:col>
      <xdr:colOff>57151</xdr:colOff>
      <xdr:row>17</xdr:row>
      <xdr:rowOff>37288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73171A-3A9B-7855-D426-7DC436575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001" y="742950"/>
          <a:ext cx="3054350" cy="204388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</xdr:colOff>
      <xdr:row>5</xdr:row>
      <xdr:rowOff>0</xdr:rowOff>
    </xdr:from>
    <xdr:to>
      <xdr:col>10</xdr:col>
      <xdr:colOff>1060941</xdr:colOff>
      <xdr:row>18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73B9EB-4573-A57B-2107-C7545F3D3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9572" y="852714"/>
          <a:ext cx="4235940" cy="218621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11722</xdr:colOff>
      <xdr:row>24</xdr:row>
      <xdr:rowOff>20989</xdr:rowOff>
    </xdr:from>
    <xdr:to>
      <xdr:col>7</xdr:col>
      <xdr:colOff>2121876</xdr:colOff>
      <xdr:row>31</xdr:row>
      <xdr:rowOff>13676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CDA9335-0867-4DEB-AD96-C898F7F10C5B}"/>
            </a:ext>
          </a:extLst>
        </xdr:cNvPr>
        <xdr:cNvSpPr txBox="1"/>
      </xdr:nvSpPr>
      <xdr:spPr>
        <a:xfrm>
          <a:off x="3783622" y="4250089"/>
          <a:ext cx="4556174" cy="121950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Design solution.</a:t>
          </a:r>
        </a:p>
        <a:p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-</a:t>
          </a:r>
          <a:r>
            <a:rPr lang="en-U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Increase Riso so that fz moves down toward fp so that ratio fz/fp =</a:t>
          </a:r>
          <a:r>
            <a:rPr lang="en-U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3 to 10.</a:t>
          </a:r>
        </a:p>
        <a:p>
          <a:endParaRPr lang="en-US" sz="1100" b="0" i="0" u="none" strike="noStrike">
            <a:solidFill>
              <a:schemeClr val="dk1"/>
            </a:solidFill>
            <a:effectLst/>
            <a:latin typeface="+mn-lt"/>
            <a:ea typeface="+mn-ea"/>
            <a:cs typeface="Arial" panose="020B0604020202020204" pitchFamily="34" charset="0"/>
          </a:endParaRPr>
        </a:p>
        <a:p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Check circuit design with SPICE runs. </a:t>
          </a:r>
        </a:p>
        <a:p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- Open Loop Test to show </a:t>
          </a:r>
          <a:r>
            <a:rPr lang="en-U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less neg phase at 0dB crossing.</a:t>
          </a:r>
        </a:p>
        <a:p>
          <a:r>
            <a:rPr lang="en-U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- Closed Loop Test to show 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acceptable level of overshoot and ringing.</a:t>
          </a:r>
        </a:p>
      </xdr:txBody>
    </xdr:sp>
    <xdr:clientData/>
  </xdr:twoCellAnchor>
  <xdr:twoCellAnchor editAs="oneCell">
    <xdr:from>
      <xdr:col>1</xdr:col>
      <xdr:colOff>5862</xdr:colOff>
      <xdr:row>4</xdr:row>
      <xdr:rowOff>17583</xdr:rowOff>
    </xdr:from>
    <xdr:to>
      <xdr:col>6</xdr:col>
      <xdr:colOff>883663</xdr:colOff>
      <xdr:row>16</xdr:row>
      <xdr:rowOff>70339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927233-31E8-42C9-9C49-F715DA010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3582" y="741483"/>
          <a:ext cx="4558261" cy="21558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E1F9CB2-B069-4B95-8679-B54FE60707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523460</xdr:colOff>
      <xdr:row>3</xdr:row>
      <xdr:rowOff>159026</xdr:rowOff>
    </xdr:from>
    <xdr:to>
      <xdr:col>6</xdr:col>
      <xdr:colOff>456991</xdr:colOff>
      <xdr:row>19</xdr:row>
      <xdr:rowOff>139148</xdr:rowOff>
    </xdr:to>
    <xdr:pic>
      <xdr:nvPicPr>
        <xdr:cNvPr id="3" name="Picture 2" descr="sch">
          <a:extLst>
            <a:ext uri="{FF2B5EF4-FFF2-40B4-BE49-F238E27FC236}">
              <a16:creationId xmlns:a16="http://schemas.microsoft.com/office/drawing/2014/main" id="{64CD47C9-5215-4F03-AFB8-C6C97E66A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460" y="661946"/>
          <a:ext cx="4330271" cy="2662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518160</xdr:colOff>
      <xdr:row>4</xdr:row>
      <xdr:rowOff>45720</xdr:rowOff>
    </xdr:from>
    <xdr:to>
      <xdr:col>6</xdr:col>
      <xdr:colOff>7620</xdr:colOff>
      <xdr:row>19</xdr:row>
      <xdr:rowOff>62727</xdr:rowOff>
    </xdr:to>
    <xdr:pic>
      <xdr:nvPicPr>
        <xdr:cNvPr id="2" name="Picture 1" descr="sch">
          <a:extLst>
            <a:ext uri="{FF2B5EF4-FFF2-40B4-BE49-F238E27FC236}">
              <a16:creationId xmlns:a16="http://schemas.microsoft.com/office/drawing/2014/main" id="{B84CC949-1C3F-4B57-8591-5F0100EAB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" y="731520"/>
          <a:ext cx="4541520" cy="2546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1</xdr:row>
      <xdr:rowOff>2541</xdr:rowOff>
    </xdr:from>
    <xdr:to>
      <xdr:col>4</xdr:col>
      <xdr:colOff>584200</xdr:colOff>
      <xdr:row>3</xdr:row>
      <xdr:rowOff>132313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4B4C77-18D5-4D58-B18E-3682DA79F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280" y="200661"/>
          <a:ext cx="2400300" cy="4650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http://www.ecircuitcenter.com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ecircuitcenter.com/Circuits.htm" TargetMode="External"/><Relationship Id="rId2" Type="http://schemas.openxmlformats.org/officeDocument/2006/relationships/hyperlink" Target="http://ecircuitcenter.com/LTSPICE/op_amp_series_1.html" TargetMode="External"/><Relationship Id="rId1" Type="http://schemas.openxmlformats.org/officeDocument/2006/relationships/hyperlink" Target="http://www.ecircuitcenter.com/" TargetMode="External"/><Relationship Id="rId4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B436D-3A92-4FE7-9248-036EAF893893}">
  <dimension ref="A1:G30"/>
  <sheetViews>
    <sheetView zoomScaleNormal="100" workbookViewId="0">
      <selection activeCell="C32" sqref="C32"/>
    </sheetView>
  </sheetViews>
  <sheetFormatPr defaultColWidth="9.109375" defaultRowHeight="13.2" x14ac:dyDescent="0.25"/>
  <cols>
    <col min="1" max="1" width="14.6640625" style="20" customWidth="1"/>
    <col min="2" max="2" width="13" style="20" customWidth="1"/>
    <col min="3" max="10" width="9.109375" style="20"/>
    <col min="11" max="11" width="31" style="20" customWidth="1"/>
    <col min="12" max="16384" width="9.109375" style="20"/>
  </cols>
  <sheetData>
    <row r="1" spans="1:7" x14ac:dyDescent="0.25">
      <c r="A1" s="19" t="s">
        <v>37</v>
      </c>
      <c r="D1" s="21"/>
    </row>
    <row r="2" spans="1:7" x14ac:dyDescent="0.25">
      <c r="B2" s="19"/>
      <c r="D2" s="21"/>
    </row>
    <row r="3" spans="1:7" x14ac:dyDescent="0.25">
      <c r="A3" s="3"/>
      <c r="B3" s="3"/>
      <c r="F3" s="10"/>
      <c r="G3" s="2" t="s">
        <v>38</v>
      </c>
    </row>
    <row r="4" spans="1:7" x14ac:dyDescent="0.25">
      <c r="A4" s="3"/>
      <c r="B4" s="3"/>
      <c r="F4" s="8"/>
      <c r="G4" s="2" t="s">
        <v>39</v>
      </c>
    </row>
    <row r="5" spans="1:7" x14ac:dyDescent="0.25">
      <c r="A5" s="21" t="s">
        <v>40</v>
      </c>
      <c r="D5" s="21"/>
    </row>
    <row r="6" spans="1:7" x14ac:dyDescent="0.25">
      <c r="A6" s="22" t="s">
        <v>41</v>
      </c>
      <c r="B6" s="23">
        <v>10000</v>
      </c>
      <c r="D6" s="21"/>
    </row>
    <row r="7" spans="1:7" x14ac:dyDescent="0.25">
      <c r="A7" s="8" t="s">
        <v>42</v>
      </c>
      <c r="B7" s="24">
        <f>20*LOG10(B6)</f>
        <v>80</v>
      </c>
      <c r="C7" s="21" t="s">
        <v>43</v>
      </c>
      <c r="E7" s="21"/>
    </row>
    <row r="9" spans="1:7" x14ac:dyDescent="0.25">
      <c r="A9" s="21" t="s">
        <v>44</v>
      </c>
    </row>
    <row r="10" spans="1:7" x14ac:dyDescent="0.25">
      <c r="A10" s="22" t="s">
        <v>1</v>
      </c>
      <c r="B10" s="23">
        <v>10000</v>
      </c>
      <c r="C10" s="21"/>
    </row>
    <row r="11" spans="1:7" x14ac:dyDescent="0.25">
      <c r="A11" s="22" t="s">
        <v>0</v>
      </c>
      <c r="B11" s="23">
        <v>990000</v>
      </c>
      <c r="C11" s="21"/>
      <c r="E11" s="21"/>
    </row>
    <row r="12" spans="1:7" x14ac:dyDescent="0.25">
      <c r="B12" s="25"/>
      <c r="C12" s="21"/>
    </row>
    <row r="13" spans="1:7" x14ac:dyDescent="0.25">
      <c r="A13" s="21" t="s">
        <v>45</v>
      </c>
      <c r="B13" s="26"/>
      <c r="C13" s="21"/>
    </row>
    <row r="14" spans="1:7" x14ac:dyDescent="0.25">
      <c r="A14" s="8" t="s">
        <v>46</v>
      </c>
      <c r="B14" s="25">
        <f>B11/B10+1</f>
        <v>100</v>
      </c>
      <c r="C14" s="21" t="s">
        <v>18</v>
      </c>
      <c r="E14" s="21"/>
    </row>
    <row r="15" spans="1:7" x14ac:dyDescent="0.25">
      <c r="B15" s="27"/>
      <c r="C15" s="21"/>
    </row>
    <row r="16" spans="1:7" x14ac:dyDescent="0.25">
      <c r="A16" s="21" t="s">
        <v>47</v>
      </c>
      <c r="C16" s="21"/>
    </row>
    <row r="17" spans="1:3" x14ac:dyDescent="0.25">
      <c r="A17" s="22" t="s">
        <v>48</v>
      </c>
      <c r="B17" s="28">
        <f>B10/(B10+B11)</f>
        <v>0.01</v>
      </c>
      <c r="C17" s="21" t="s">
        <v>49</v>
      </c>
    </row>
    <row r="18" spans="1:3" x14ac:dyDescent="0.25">
      <c r="B18" s="26"/>
    </row>
    <row r="19" spans="1:3" x14ac:dyDescent="0.25">
      <c r="A19" s="21" t="s">
        <v>50</v>
      </c>
      <c r="C19" s="21"/>
    </row>
    <row r="20" spans="1:3" x14ac:dyDescent="0.25">
      <c r="A20" s="8" t="s">
        <v>51</v>
      </c>
      <c r="B20" s="29">
        <f>1/(B6*B17)</f>
        <v>0.01</v>
      </c>
      <c r="C20" s="21"/>
    </row>
    <row r="21" spans="1:3" x14ac:dyDescent="0.25">
      <c r="A21" s="20" t="s">
        <v>52</v>
      </c>
      <c r="B21" s="29">
        <f>B20*100</f>
        <v>1</v>
      </c>
      <c r="C21" s="21"/>
    </row>
    <row r="23" spans="1:3" x14ac:dyDescent="0.25">
      <c r="A23" s="21" t="s">
        <v>53</v>
      </c>
    </row>
    <row r="24" spans="1:3" x14ac:dyDescent="0.25">
      <c r="A24" s="22" t="s">
        <v>54</v>
      </c>
      <c r="B24" s="30">
        <v>0.1</v>
      </c>
    </row>
    <row r="25" spans="1:3" x14ac:dyDescent="0.25">
      <c r="A25" s="8" t="s">
        <v>55</v>
      </c>
      <c r="B25" s="26">
        <f>B24*B14</f>
        <v>10</v>
      </c>
    </row>
    <row r="26" spans="1:3" x14ac:dyDescent="0.25">
      <c r="A26" s="8" t="s">
        <v>56</v>
      </c>
      <c r="B26" s="26">
        <f>B24*B6/(1+B6*B17)</f>
        <v>9.9009900990099009</v>
      </c>
      <c r="C26" s="21" t="s">
        <v>57</v>
      </c>
    </row>
    <row r="27" spans="1:3" x14ac:dyDescent="0.25">
      <c r="A27" s="8" t="s">
        <v>58</v>
      </c>
      <c r="B27" s="29">
        <f>B25-B26</f>
        <v>9.9009900990099098E-2</v>
      </c>
    </row>
    <row r="29" spans="1:3" x14ac:dyDescent="0.25">
      <c r="A29" s="21" t="s">
        <v>59</v>
      </c>
    </row>
    <row r="30" spans="1:3" x14ac:dyDescent="0.25">
      <c r="A30" s="31" t="s">
        <v>60</v>
      </c>
      <c r="B30" s="32">
        <f>B25*B20</f>
        <v>0.1</v>
      </c>
    </row>
  </sheetData>
  <pageMargins left="0.75" right="0.75" top="1" bottom="1" header="0.5" footer="0.5"/>
  <pageSetup paperSize="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18146-7B46-40BD-BBBC-71551A7C5FE5}">
  <dimension ref="A1:G26"/>
  <sheetViews>
    <sheetView zoomScaleNormal="100" workbookViewId="0">
      <selection activeCell="C33" sqref="C33"/>
    </sheetView>
  </sheetViews>
  <sheetFormatPr defaultColWidth="9.109375" defaultRowHeight="13.2" x14ac:dyDescent="0.25"/>
  <cols>
    <col min="1" max="1" width="16.6640625" style="20" customWidth="1"/>
    <col min="2" max="2" width="13" style="20" customWidth="1"/>
    <col min="3" max="10" width="9.109375" style="20"/>
    <col min="11" max="11" width="31" style="20" customWidth="1"/>
    <col min="12" max="16384" width="9.109375" style="20"/>
  </cols>
  <sheetData>
    <row r="1" spans="1:7" x14ac:dyDescent="0.25">
      <c r="A1" s="19" t="s">
        <v>61</v>
      </c>
      <c r="D1" s="21"/>
    </row>
    <row r="2" spans="1:7" x14ac:dyDescent="0.25">
      <c r="B2" s="19"/>
      <c r="D2" s="21"/>
    </row>
    <row r="3" spans="1:7" x14ac:dyDescent="0.25">
      <c r="A3" s="3"/>
      <c r="B3" s="3"/>
      <c r="C3" s="1"/>
      <c r="D3" s="1"/>
      <c r="E3" s="1"/>
      <c r="F3" s="10"/>
      <c r="G3" s="2" t="s">
        <v>38</v>
      </c>
    </row>
    <row r="4" spans="1:7" x14ac:dyDescent="0.25">
      <c r="A4" s="3"/>
      <c r="B4" s="3"/>
      <c r="C4" s="1"/>
      <c r="D4" s="1"/>
      <c r="E4" s="1"/>
      <c r="F4" s="8"/>
      <c r="G4" s="2" t="s">
        <v>39</v>
      </c>
    </row>
    <row r="5" spans="1:7" x14ac:dyDescent="0.25">
      <c r="A5" s="19"/>
      <c r="B5" s="19"/>
      <c r="D5" s="21"/>
    </row>
    <row r="6" spans="1:7" x14ac:dyDescent="0.25">
      <c r="A6" s="21" t="s">
        <v>62</v>
      </c>
      <c r="D6" s="21"/>
    </row>
    <row r="7" spans="1:7" x14ac:dyDescent="0.25">
      <c r="A7" s="22" t="s">
        <v>63</v>
      </c>
      <c r="B7" s="23">
        <v>1000000</v>
      </c>
      <c r="C7" s="21" t="s">
        <v>64</v>
      </c>
      <c r="D7" s="21"/>
    </row>
    <row r="9" spans="1:7" x14ac:dyDescent="0.25">
      <c r="A9" s="21" t="s">
        <v>65</v>
      </c>
    </row>
    <row r="10" spans="1:7" x14ac:dyDescent="0.25">
      <c r="A10" s="22" t="s">
        <v>1</v>
      </c>
      <c r="B10" s="23">
        <v>1000</v>
      </c>
      <c r="C10" s="21"/>
    </row>
    <row r="11" spans="1:7" x14ac:dyDescent="0.25">
      <c r="A11" s="22" t="s">
        <v>0</v>
      </c>
      <c r="B11" s="23">
        <v>9000</v>
      </c>
      <c r="C11" s="21"/>
      <c r="E11" s="21"/>
    </row>
    <row r="12" spans="1:7" x14ac:dyDescent="0.25">
      <c r="B12" s="25"/>
      <c r="C12" s="21"/>
    </row>
    <row r="13" spans="1:7" x14ac:dyDescent="0.25">
      <c r="A13" s="21" t="s">
        <v>66</v>
      </c>
      <c r="B13" s="26"/>
      <c r="C13" s="21"/>
    </row>
    <row r="14" spans="1:7" x14ac:dyDescent="0.25">
      <c r="A14" s="31" t="s">
        <v>46</v>
      </c>
      <c r="B14" s="27">
        <f>($B$11+$B$10)/$B$10</f>
        <v>10</v>
      </c>
      <c r="C14" s="21" t="s">
        <v>18</v>
      </c>
      <c r="E14" s="21"/>
    </row>
    <row r="15" spans="1:7" x14ac:dyDescent="0.25">
      <c r="B15" s="25"/>
      <c r="C15" s="21"/>
      <c r="E15" s="21"/>
    </row>
    <row r="16" spans="1:7" x14ac:dyDescent="0.25">
      <c r="A16" s="21" t="s">
        <v>67</v>
      </c>
      <c r="B16" s="26"/>
      <c r="C16" s="21"/>
    </row>
    <row r="17" spans="1:5" x14ac:dyDescent="0.25">
      <c r="A17" s="31" t="s">
        <v>46</v>
      </c>
      <c r="B17" s="27">
        <f>-$B$11/$B$10</f>
        <v>-9</v>
      </c>
      <c r="C17" s="33" t="s">
        <v>68</v>
      </c>
      <c r="E17" s="21"/>
    </row>
    <row r="18" spans="1:5" x14ac:dyDescent="0.25">
      <c r="B18" s="25"/>
      <c r="C18" s="21"/>
    </row>
    <row r="19" spans="1:5" x14ac:dyDescent="0.25">
      <c r="A19" s="21" t="s">
        <v>69</v>
      </c>
      <c r="B19" s="26"/>
      <c r="C19" s="21"/>
      <c r="E19" s="21"/>
    </row>
    <row r="20" spans="1:5" x14ac:dyDescent="0.25">
      <c r="A20" s="31" t="s">
        <v>70</v>
      </c>
      <c r="B20" s="27">
        <f>($B$11+$B$10)/$B$10</f>
        <v>10</v>
      </c>
      <c r="C20" s="21" t="s">
        <v>18</v>
      </c>
      <c r="E20" s="21"/>
    </row>
    <row r="21" spans="1:5" x14ac:dyDescent="0.25">
      <c r="A21" s="27"/>
      <c r="B21" s="27"/>
      <c r="C21" s="21"/>
      <c r="E21" s="21"/>
    </row>
    <row r="22" spans="1:5" x14ac:dyDescent="0.25">
      <c r="A22" s="21" t="s">
        <v>71</v>
      </c>
    </row>
    <row r="23" spans="1:5" x14ac:dyDescent="0.25">
      <c r="A23" s="31" t="s">
        <v>72</v>
      </c>
      <c r="B23" s="24">
        <f>B7/B20</f>
        <v>100000</v>
      </c>
      <c r="C23" s="20" t="s">
        <v>73</v>
      </c>
      <c r="D23" s="21" t="s">
        <v>74</v>
      </c>
    </row>
    <row r="25" spans="1:5" x14ac:dyDescent="0.25">
      <c r="A25" s="31" t="s">
        <v>75</v>
      </c>
      <c r="B25" s="11">
        <f>1/(2*PI()*B23)</f>
        <v>1.5915494309189535E-6</v>
      </c>
      <c r="C25" s="6" t="s">
        <v>76</v>
      </c>
    </row>
    <row r="26" spans="1:5" x14ac:dyDescent="0.25">
      <c r="A26" s="31" t="s">
        <v>77</v>
      </c>
      <c r="B26" s="34">
        <f>2.2*B25</f>
        <v>3.501408748021698E-6</v>
      </c>
    </row>
  </sheetData>
  <pageMargins left="0.75" right="0.75" top="1" bottom="1" header="0.5" footer="0.5"/>
  <pageSetup paperSize="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B3A7A-35B4-4043-9033-C6E6BE53AAB7}">
  <dimension ref="A1:G39"/>
  <sheetViews>
    <sheetView zoomScaleNormal="100" workbookViewId="0">
      <selection activeCell="H17" sqref="H17"/>
    </sheetView>
  </sheetViews>
  <sheetFormatPr defaultColWidth="9.109375" defaultRowHeight="13.2" x14ac:dyDescent="0.25"/>
  <cols>
    <col min="1" max="1" width="14.6640625" style="1" customWidth="1"/>
    <col min="2" max="2" width="13" style="1" customWidth="1"/>
    <col min="3" max="10" width="9.109375" style="1"/>
    <col min="11" max="11" width="31" style="1" customWidth="1"/>
    <col min="12" max="16384" width="9.109375" style="1"/>
  </cols>
  <sheetData>
    <row r="1" spans="1:7" ht="15.6" x14ac:dyDescent="0.3">
      <c r="A1" s="18" t="s">
        <v>78</v>
      </c>
      <c r="D1" s="2"/>
    </row>
    <row r="2" spans="1:7" x14ac:dyDescent="0.25">
      <c r="B2" s="3"/>
      <c r="D2" s="2"/>
    </row>
    <row r="3" spans="1:7" x14ac:dyDescent="0.25">
      <c r="A3" s="3" t="s">
        <v>79</v>
      </c>
      <c r="B3" s="3"/>
      <c r="F3" s="10"/>
      <c r="G3" s="2" t="s">
        <v>38</v>
      </c>
    </row>
    <row r="4" spans="1:7" x14ac:dyDescent="0.25">
      <c r="A4" s="3"/>
      <c r="B4" s="3"/>
      <c r="F4" s="8"/>
      <c r="G4" s="2" t="s">
        <v>39</v>
      </c>
    </row>
    <row r="5" spans="1:7" x14ac:dyDescent="0.25">
      <c r="A5" s="3"/>
      <c r="B5" s="2"/>
      <c r="D5" s="2"/>
      <c r="E5" s="2"/>
      <c r="F5" s="2"/>
      <c r="G5" s="7"/>
    </row>
    <row r="6" spans="1:7" x14ac:dyDescent="0.25">
      <c r="A6" s="3"/>
      <c r="B6" s="2"/>
      <c r="D6" s="2"/>
      <c r="E6" s="2"/>
      <c r="F6" s="2"/>
      <c r="G6" s="7"/>
    </row>
    <row r="7" spans="1:7" x14ac:dyDescent="0.25">
      <c r="A7"/>
      <c r="B7" s="2"/>
      <c r="D7" s="2"/>
      <c r="E7" s="2"/>
      <c r="F7" s="2"/>
      <c r="G7" s="7"/>
    </row>
    <row r="8" spans="1:7" x14ac:dyDescent="0.25">
      <c r="A8" s="3"/>
      <c r="B8" s="2"/>
      <c r="D8" s="2"/>
      <c r="E8" s="2"/>
      <c r="F8" s="2"/>
      <c r="G8" s="7"/>
    </row>
    <row r="9" spans="1:7" x14ac:dyDescent="0.25">
      <c r="A9" s="3"/>
      <c r="B9" s="2"/>
      <c r="D9" s="2"/>
      <c r="E9" s="2"/>
      <c r="F9" s="2"/>
      <c r="G9" s="7"/>
    </row>
    <row r="10" spans="1:7" x14ac:dyDescent="0.25">
      <c r="A10" s="3"/>
      <c r="B10" s="2"/>
      <c r="D10" s="2"/>
      <c r="E10" s="2"/>
      <c r="F10" s="2"/>
      <c r="G10" s="7"/>
    </row>
    <row r="11" spans="1:7" x14ac:dyDescent="0.25">
      <c r="A11" s="3"/>
      <c r="B11" s="2"/>
      <c r="D11" s="2"/>
      <c r="E11" s="2"/>
      <c r="F11" s="2"/>
      <c r="G11" s="7"/>
    </row>
    <row r="12" spans="1:7" x14ac:dyDescent="0.25">
      <c r="B12" s="3"/>
      <c r="D12" s="2"/>
    </row>
    <row r="15" spans="1:7" x14ac:dyDescent="0.25">
      <c r="A15" s="10" t="s">
        <v>80</v>
      </c>
      <c r="B15" s="12">
        <v>200000</v>
      </c>
      <c r="C15" s="2"/>
      <c r="F15"/>
    </row>
    <row r="16" spans="1:7" x14ac:dyDescent="0.25">
      <c r="A16" s="9" t="s">
        <v>81</v>
      </c>
      <c r="B16" s="35">
        <v>10</v>
      </c>
      <c r="C16" s="6"/>
      <c r="E16" s="2"/>
    </row>
    <row r="17" spans="1:5" x14ac:dyDescent="0.25">
      <c r="A17" s="8" t="s">
        <v>82</v>
      </c>
      <c r="B17" s="4">
        <f>2*PI()*B15*B16*0.000001</f>
        <v>12.566370614359171</v>
      </c>
      <c r="C17" s="6" t="s">
        <v>83</v>
      </c>
      <c r="E17" s="2"/>
    </row>
    <row r="18" spans="1:5" x14ac:dyDescent="0.25">
      <c r="B18" s="5"/>
      <c r="C18" s="2"/>
    </row>
    <row r="19" spans="1:5" x14ac:dyDescent="0.25">
      <c r="B19" s="5"/>
      <c r="C19" s="2"/>
    </row>
    <row r="20" spans="1:5" x14ac:dyDescent="0.25">
      <c r="B20" s="5"/>
      <c r="C20" s="2"/>
    </row>
    <row r="21" spans="1:5" x14ac:dyDescent="0.25">
      <c r="B21" s="5"/>
      <c r="C21" s="2"/>
    </row>
    <row r="22" spans="1:5" x14ac:dyDescent="0.25">
      <c r="B22" s="5"/>
      <c r="C22" s="2"/>
    </row>
    <row r="23" spans="1:5" x14ac:dyDescent="0.25">
      <c r="B23" s="5"/>
      <c r="C23" s="2"/>
    </row>
    <row r="24" spans="1:5" x14ac:dyDescent="0.25">
      <c r="A24" s="3" t="s">
        <v>84</v>
      </c>
      <c r="B24" s="5"/>
      <c r="C24" s="2"/>
    </row>
    <row r="25" spans="1:5" x14ac:dyDescent="0.25">
      <c r="B25" s="5"/>
      <c r="C25" s="2"/>
    </row>
    <row r="26" spans="1:5" x14ac:dyDescent="0.25">
      <c r="B26" s="5"/>
      <c r="C26" s="2"/>
    </row>
    <row r="27" spans="1:5" x14ac:dyDescent="0.25">
      <c r="B27" s="5"/>
      <c r="C27" s="2"/>
    </row>
    <row r="28" spans="1:5" x14ac:dyDescent="0.25">
      <c r="B28" s="5"/>
      <c r="C28" s="2"/>
    </row>
    <row r="29" spans="1:5" x14ac:dyDescent="0.25">
      <c r="B29" s="5"/>
      <c r="C29" s="2"/>
    </row>
    <row r="30" spans="1:5" x14ac:dyDescent="0.25">
      <c r="B30" s="5"/>
      <c r="C30" s="2"/>
    </row>
    <row r="31" spans="1:5" x14ac:dyDescent="0.25">
      <c r="B31" s="5"/>
      <c r="C31" s="2"/>
    </row>
    <row r="32" spans="1:5" x14ac:dyDescent="0.25">
      <c r="B32" s="5"/>
      <c r="C32" s="2"/>
    </row>
    <row r="33" spans="1:5" x14ac:dyDescent="0.25">
      <c r="B33" s="5"/>
      <c r="C33" s="2"/>
    </row>
    <row r="34" spans="1:5" x14ac:dyDescent="0.25">
      <c r="B34" s="5"/>
      <c r="C34" s="2"/>
    </row>
    <row r="36" spans="1:5" x14ac:dyDescent="0.25">
      <c r="A36" s="10" t="s">
        <v>85</v>
      </c>
      <c r="B36" s="12">
        <v>1000000</v>
      </c>
      <c r="C36" s="2" t="s">
        <v>86</v>
      </c>
    </row>
    <row r="37" spans="1:5" x14ac:dyDescent="0.25">
      <c r="A37" s="9" t="s">
        <v>87</v>
      </c>
      <c r="B37" s="35">
        <v>10</v>
      </c>
      <c r="C37" s="2"/>
    </row>
    <row r="38" spans="1:5" x14ac:dyDescent="0.25">
      <c r="A38" s="8" t="s">
        <v>88</v>
      </c>
      <c r="B38" s="11">
        <f>1/(2*PI()*B36)</f>
        <v>1.5915494309189535E-7</v>
      </c>
      <c r="C38" s="6" t="s">
        <v>89</v>
      </c>
      <c r="E38" s="2"/>
    </row>
    <row r="39" spans="1:5" x14ac:dyDescent="0.25">
      <c r="A39" s="8" t="s">
        <v>82</v>
      </c>
      <c r="B39" s="4">
        <f>B37/B38*0.000001</f>
        <v>62.831853071795855</v>
      </c>
      <c r="C39" s="6" t="s">
        <v>90</v>
      </c>
      <c r="E39" s="2"/>
    </row>
  </sheetData>
  <pageMargins left="0.75" right="0.75" top="1" bottom="1" header="0.5" footer="0.5"/>
  <pageSetup paperSize="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E7077-512F-47C2-A1D4-837C93E6EBF9}">
  <dimension ref="A1:G25"/>
  <sheetViews>
    <sheetView zoomScaleNormal="100" workbookViewId="0">
      <selection activeCell="H29" sqref="H29"/>
    </sheetView>
  </sheetViews>
  <sheetFormatPr defaultColWidth="9.109375" defaultRowHeight="13.2" x14ac:dyDescent="0.25"/>
  <cols>
    <col min="1" max="1" width="13.21875" style="20" customWidth="1"/>
    <col min="2" max="2" width="13" style="20" customWidth="1"/>
    <col min="3" max="3" width="9.109375" style="20"/>
    <col min="4" max="4" width="10.77734375" style="20" customWidth="1"/>
    <col min="5" max="10" width="9.109375" style="20"/>
    <col min="11" max="11" width="31" style="20" customWidth="1"/>
    <col min="12" max="16384" width="9.109375" style="20"/>
  </cols>
  <sheetData>
    <row r="1" spans="1:7" ht="15.6" x14ac:dyDescent="0.3">
      <c r="A1" s="36" t="s">
        <v>91</v>
      </c>
      <c r="D1" s="21"/>
    </row>
    <row r="2" spans="1:7" x14ac:dyDescent="0.25">
      <c r="B2" s="19"/>
      <c r="D2" s="21"/>
    </row>
    <row r="3" spans="1:7" x14ac:dyDescent="0.25">
      <c r="A3" s="3"/>
      <c r="B3" s="3"/>
      <c r="C3" s="10"/>
      <c r="D3" s="2" t="s">
        <v>19</v>
      </c>
      <c r="E3" s="1"/>
      <c r="F3"/>
      <c r="G3"/>
    </row>
    <row r="4" spans="1:7" x14ac:dyDescent="0.25">
      <c r="A4" s="3"/>
      <c r="B4" s="3"/>
      <c r="C4" s="8"/>
      <c r="D4" s="2" t="s">
        <v>39</v>
      </c>
      <c r="E4" s="1"/>
      <c r="F4"/>
      <c r="G4"/>
    </row>
    <row r="5" spans="1:7" x14ac:dyDescent="0.25">
      <c r="A5" s="21" t="s">
        <v>91</v>
      </c>
      <c r="D5" s="21"/>
      <c r="E5" s="37" t="s">
        <v>92</v>
      </c>
    </row>
    <row r="6" spans="1:7" x14ac:dyDescent="0.25">
      <c r="A6" s="22" t="s">
        <v>93</v>
      </c>
      <c r="B6" s="38">
        <v>0.04</v>
      </c>
      <c r="C6" s="21"/>
      <c r="D6" s="21"/>
    </row>
    <row r="8" spans="1:7" x14ac:dyDescent="0.25">
      <c r="A8" s="21" t="s">
        <v>94</v>
      </c>
    </row>
    <row r="9" spans="1:7" x14ac:dyDescent="0.25">
      <c r="A9" s="22" t="s">
        <v>95</v>
      </c>
      <c r="B9" s="30">
        <v>10</v>
      </c>
      <c r="C9" s="21"/>
    </row>
    <row r="10" spans="1:7" x14ac:dyDescent="0.25">
      <c r="B10" s="25"/>
      <c r="C10" s="21"/>
    </row>
    <row r="11" spans="1:7" x14ac:dyDescent="0.25">
      <c r="A11" s="21" t="s">
        <v>96</v>
      </c>
      <c r="B11" s="26"/>
      <c r="C11" s="21"/>
    </row>
    <row r="12" spans="1:7" x14ac:dyDescent="0.25">
      <c r="A12" s="31" t="s">
        <v>97</v>
      </c>
      <c r="B12" s="27">
        <f>B9/B6</f>
        <v>250</v>
      </c>
      <c r="C12" s="33" t="s">
        <v>98</v>
      </c>
      <c r="E12" s="21"/>
    </row>
    <row r="13" spans="1:7" x14ac:dyDescent="0.25">
      <c r="B13" s="25"/>
      <c r="C13" s="21"/>
    </row>
    <row r="15" spans="1:7" x14ac:dyDescent="0.25">
      <c r="A15" s="21" t="s">
        <v>99</v>
      </c>
      <c r="B15" s="26"/>
      <c r="C15" s="21"/>
    </row>
    <row r="16" spans="1:7" x14ac:dyDescent="0.25">
      <c r="A16" s="22" t="s">
        <v>100</v>
      </c>
      <c r="B16" s="30">
        <v>12</v>
      </c>
      <c r="C16" s="21"/>
    </row>
    <row r="17" spans="1:3" x14ac:dyDescent="0.25">
      <c r="A17" s="22" t="s">
        <v>101</v>
      </c>
      <c r="B17" s="30">
        <v>-12</v>
      </c>
      <c r="C17" s="21"/>
    </row>
    <row r="18" spans="1:3" x14ac:dyDescent="0.25">
      <c r="A18" s="22" t="s">
        <v>102</v>
      </c>
      <c r="B18" s="28">
        <v>5.0000000000000001E-3</v>
      </c>
      <c r="C18" s="33" t="s">
        <v>103</v>
      </c>
    </row>
    <row r="19" spans="1:3" x14ac:dyDescent="0.25">
      <c r="A19" s="31" t="s">
        <v>104</v>
      </c>
      <c r="B19" s="28">
        <f>B16*B6+B18*(B16-B17)</f>
        <v>0.6</v>
      </c>
      <c r="C19" s="21" t="s">
        <v>105</v>
      </c>
    </row>
    <row r="22" spans="1:3" x14ac:dyDescent="0.25">
      <c r="A22" s="21" t="s">
        <v>106</v>
      </c>
      <c r="B22" s="26"/>
      <c r="C22" s="21"/>
    </row>
    <row r="23" spans="1:3" x14ac:dyDescent="0.25">
      <c r="A23" s="22" t="s">
        <v>107</v>
      </c>
      <c r="B23" s="39">
        <v>0.65</v>
      </c>
      <c r="C23" s="21"/>
    </row>
    <row r="24" spans="1:3" x14ac:dyDescent="0.25">
      <c r="A24" s="22" t="s">
        <v>108</v>
      </c>
      <c r="B24" s="30">
        <v>22</v>
      </c>
      <c r="C24" s="21"/>
    </row>
    <row r="25" spans="1:3" x14ac:dyDescent="0.25">
      <c r="A25" s="31" t="s">
        <v>109</v>
      </c>
      <c r="B25" s="28">
        <f>B23/B24</f>
        <v>2.9545454545454545E-2</v>
      </c>
      <c r="C25" s="21" t="s">
        <v>110</v>
      </c>
    </row>
  </sheetData>
  <pageMargins left="0.75" right="0.75" top="1" bottom="1" header="0.5" footer="0.5"/>
  <pageSetup paperSize="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8EF5B-45ED-4197-9F2F-270A4928DFB3}">
  <dimension ref="A1:G15"/>
  <sheetViews>
    <sheetView zoomScaleNormal="100" workbookViewId="0">
      <selection activeCell="H28" sqref="H28"/>
    </sheetView>
  </sheetViews>
  <sheetFormatPr defaultColWidth="9.109375" defaultRowHeight="13.2" x14ac:dyDescent="0.25"/>
  <cols>
    <col min="1" max="1" width="16.6640625" style="20" customWidth="1"/>
    <col min="2" max="2" width="13" style="20" customWidth="1"/>
    <col min="3" max="10" width="9.109375" style="20"/>
    <col min="11" max="11" width="31" style="20" customWidth="1"/>
    <col min="12" max="16384" width="9.109375" style="20"/>
  </cols>
  <sheetData>
    <row r="1" spans="1:7" ht="15.6" x14ac:dyDescent="0.3">
      <c r="A1" s="36" t="s">
        <v>111</v>
      </c>
      <c r="D1" s="21"/>
    </row>
    <row r="2" spans="1:7" x14ac:dyDescent="0.25">
      <c r="B2" s="19"/>
      <c r="D2" s="21"/>
    </row>
    <row r="3" spans="1:7" x14ac:dyDescent="0.25">
      <c r="A3" s="3"/>
      <c r="B3" s="3"/>
      <c r="C3" s="10"/>
      <c r="D3" s="2" t="s">
        <v>38</v>
      </c>
      <c r="E3" s="1"/>
      <c r="F3"/>
      <c r="G3"/>
    </row>
    <row r="4" spans="1:7" x14ac:dyDescent="0.25">
      <c r="A4" s="3"/>
      <c r="B4" s="3"/>
      <c r="C4" s="8"/>
      <c r="D4" s="2" t="s">
        <v>39</v>
      </c>
      <c r="E4" s="1"/>
      <c r="F4"/>
      <c r="G4"/>
    </row>
    <row r="5" spans="1:7" x14ac:dyDescent="0.25">
      <c r="A5" s="21" t="s">
        <v>111</v>
      </c>
      <c r="D5" s="21"/>
    </row>
    <row r="6" spans="1:7" x14ac:dyDescent="0.25">
      <c r="A6" s="22" t="s">
        <v>112</v>
      </c>
      <c r="B6" s="39">
        <v>1.5</v>
      </c>
      <c r="C6" s="21" t="s">
        <v>113</v>
      </c>
      <c r="D6" s="21"/>
    </row>
    <row r="8" spans="1:7" x14ac:dyDescent="0.25">
      <c r="A8" s="21" t="s">
        <v>114</v>
      </c>
      <c r="E8" s="37" t="s">
        <v>92</v>
      </c>
    </row>
    <row r="9" spans="1:7" x14ac:dyDescent="0.25">
      <c r="A9" s="22" t="s">
        <v>100</v>
      </c>
      <c r="B9" s="23">
        <v>12</v>
      </c>
      <c r="C9" s="21"/>
    </row>
    <row r="10" spans="1:7" x14ac:dyDescent="0.25">
      <c r="A10" s="22" t="s">
        <v>101</v>
      </c>
      <c r="B10" s="23">
        <v>-12</v>
      </c>
      <c r="C10" s="21"/>
      <c r="E10" s="21"/>
    </row>
    <row r="11" spans="1:7" x14ac:dyDescent="0.25">
      <c r="B11" s="25"/>
      <c r="C11" s="21"/>
    </row>
    <row r="12" spans="1:7" x14ac:dyDescent="0.25">
      <c r="A12" s="21" t="s">
        <v>115</v>
      </c>
      <c r="B12" s="26"/>
      <c r="C12" s="21"/>
    </row>
    <row r="13" spans="1:7" x14ac:dyDescent="0.25">
      <c r="A13" s="31" t="s">
        <v>95</v>
      </c>
      <c r="B13" s="27">
        <f>B9-B6</f>
        <v>10.5</v>
      </c>
      <c r="C13" s="33" t="s">
        <v>116</v>
      </c>
      <c r="E13" s="21"/>
    </row>
    <row r="14" spans="1:7" x14ac:dyDescent="0.25">
      <c r="A14" s="31" t="s">
        <v>117</v>
      </c>
      <c r="B14" s="27">
        <f>B10+B6</f>
        <v>-10.5</v>
      </c>
      <c r="C14" s="33" t="s">
        <v>118</v>
      </c>
      <c r="E14" s="21"/>
    </row>
    <row r="15" spans="1:7" x14ac:dyDescent="0.25">
      <c r="B15" s="25"/>
      <c r="C15" s="21"/>
    </row>
  </sheetData>
  <pageMargins left="0.75" right="0.75" top="1" bottom="1" header="0.5" footer="0.5"/>
  <pageSetup paperSize="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5ADD3-8C1A-448E-A1C4-5A5864153557}">
  <dimension ref="A1:G15"/>
  <sheetViews>
    <sheetView tabSelected="1" zoomScaleNormal="100" workbookViewId="0">
      <selection activeCell="C17" sqref="C17"/>
    </sheetView>
  </sheetViews>
  <sheetFormatPr defaultColWidth="9.109375" defaultRowHeight="13.2" x14ac:dyDescent="0.25"/>
  <cols>
    <col min="1" max="1" width="17.21875" style="1" customWidth="1"/>
    <col min="2" max="2" width="13" style="1" customWidth="1"/>
    <col min="3" max="10" width="9.109375" style="1"/>
    <col min="11" max="11" width="31" style="1" customWidth="1"/>
    <col min="12" max="16384" width="9.109375" style="1"/>
  </cols>
  <sheetData>
    <row r="1" spans="1:7" ht="15.6" x14ac:dyDescent="0.3">
      <c r="A1" s="18" t="s">
        <v>22</v>
      </c>
      <c r="D1" s="2"/>
    </row>
    <row r="2" spans="1:7" x14ac:dyDescent="0.25">
      <c r="B2" s="3"/>
      <c r="C2" s="10"/>
      <c r="D2" s="2" t="s">
        <v>19</v>
      </c>
    </row>
    <row r="3" spans="1:7" x14ac:dyDescent="0.25">
      <c r="B3" s="3"/>
      <c r="C3" s="8"/>
      <c r="D3" s="2" t="s">
        <v>20</v>
      </c>
    </row>
    <row r="4" spans="1:7" x14ac:dyDescent="0.25">
      <c r="A4" s="6" t="s">
        <v>21</v>
      </c>
      <c r="B4" s="2"/>
      <c r="D4" s="2"/>
      <c r="E4" s="2"/>
      <c r="F4" s="2"/>
      <c r="G4" s="7"/>
    </row>
    <row r="5" spans="1:7" x14ac:dyDescent="0.25">
      <c r="A5" s="10" t="s">
        <v>1</v>
      </c>
      <c r="B5" s="12">
        <v>10000</v>
      </c>
      <c r="C5" s="2"/>
    </row>
    <row r="6" spans="1:7" x14ac:dyDescent="0.25">
      <c r="A6" s="9" t="s">
        <v>0</v>
      </c>
      <c r="B6" s="12">
        <v>20000</v>
      </c>
      <c r="C6" s="6"/>
      <c r="E6" s="2"/>
    </row>
    <row r="8" spans="1:7" x14ac:dyDescent="0.25">
      <c r="A8" s="6" t="s">
        <v>2</v>
      </c>
    </row>
    <row r="9" spans="1:7" x14ac:dyDescent="0.25">
      <c r="A9" s="10" t="s">
        <v>3</v>
      </c>
      <c r="B9" s="14">
        <v>1E-3</v>
      </c>
      <c r="C9" s="2"/>
    </row>
    <row r="11" spans="1:7" x14ac:dyDescent="0.25">
      <c r="A11" s="6" t="s">
        <v>28</v>
      </c>
    </row>
    <row r="12" spans="1:7" x14ac:dyDescent="0.25">
      <c r="A12" s="8" t="s">
        <v>29</v>
      </c>
      <c r="B12" s="4">
        <f>(B5+B6)/B5</f>
        <v>3</v>
      </c>
      <c r="C12" s="6" t="s">
        <v>18</v>
      </c>
    </row>
    <row r="13" spans="1:7" x14ac:dyDescent="0.25">
      <c r="B13" s="5"/>
      <c r="C13" s="2"/>
    </row>
    <row r="14" spans="1:7" x14ac:dyDescent="0.25">
      <c r="A14" s="6" t="s">
        <v>30</v>
      </c>
    </row>
    <row r="15" spans="1:7" x14ac:dyDescent="0.25">
      <c r="A15" s="8" t="s">
        <v>4</v>
      </c>
      <c r="B15" s="15">
        <f>B9*B12</f>
        <v>3.0000000000000001E-3</v>
      </c>
      <c r="C15" s="6" t="s">
        <v>33</v>
      </c>
    </row>
  </sheetData>
  <pageMargins left="0.75" right="0.75" top="1" bottom="1" header="0.5" footer="0.5"/>
  <pageSetup paperSize="3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A300B-8258-4B12-920E-2B0DD795AB71}">
  <dimension ref="A1:G26"/>
  <sheetViews>
    <sheetView zoomScaleNormal="100" workbookViewId="0">
      <selection activeCell="C29" sqref="C29"/>
    </sheetView>
  </sheetViews>
  <sheetFormatPr defaultColWidth="9.109375" defaultRowHeight="13.2" x14ac:dyDescent="0.25"/>
  <cols>
    <col min="1" max="1" width="17.21875" style="1" customWidth="1"/>
    <col min="2" max="2" width="13" style="1" customWidth="1"/>
    <col min="3" max="10" width="9.109375" style="1"/>
    <col min="11" max="11" width="31" style="1" customWidth="1"/>
    <col min="12" max="16384" width="9.109375" style="1"/>
  </cols>
  <sheetData>
    <row r="1" spans="1:7" ht="15.6" x14ac:dyDescent="0.3">
      <c r="A1" s="18" t="s">
        <v>23</v>
      </c>
      <c r="D1" s="2"/>
    </row>
    <row r="2" spans="1:7" x14ac:dyDescent="0.25">
      <c r="B2" s="3"/>
      <c r="C2" s="10"/>
      <c r="D2" s="2" t="s">
        <v>19</v>
      </c>
    </row>
    <row r="3" spans="1:7" x14ac:dyDescent="0.25">
      <c r="B3" s="3"/>
      <c r="C3" s="8"/>
      <c r="D3" s="2" t="s">
        <v>20</v>
      </c>
    </row>
    <row r="4" spans="1:7" x14ac:dyDescent="0.25">
      <c r="A4" s="3"/>
      <c r="B4" s="2"/>
      <c r="D4" s="2"/>
      <c r="E4" s="2"/>
      <c r="F4" s="2"/>
      <c r="G4" s="7"/>
    </row>
    <row r="5" spans="1:7" x14ac:dyDescent="0.25">
      <c r="A5" s="6" t="s">
        <v>9</v>
      </c>
      <c r="B5" s="2"/>
      <c r="D5" s="2"/>
      <c r="E5" s="2"/>
      <c r="F5" s="2"/>
      <c r="G5" s="7"/>
    </row>
    <row r="6" spans="1:7" x14ac:dyDescent="0.25">
      <c r="A6" s="10" t="s">
        <v>1</v>
      </c>
      <c r="B6" s="12">
        <v>10000</v>
      </c>
      <c r="C6" s="2"/>
    </row>
    <row r="7" spans="1:7" x14ac:dyDescent="0.25">
      <c r="A7" s="9" t="s">
        <v>0</v>
      </c>
      <c r="B7" s="12">
        <v>20000</v>
      </c>
      <c r="C7" s="6"/>
      <c r="E7" s="2"/>
    </row>
    <row r="8" spans="1:7" x14ac:dyDescent="0.25">
      <c r="A8" s="9" t="s">
        <v>8</v>
      </c>
      <c r="B8" s="13">
        <v>10000</v>
      </c>
      <c r="C8" s="2"/>
      <c r="D8" s="2"/>
    </row>
    <row r="10" spans="1:7" x14ac:dyDescent="0.25">
      <c r="A10" s="6" t="s">
        <v>5</v>
      </c>
    </row>
    <row r="11" spans="1:7" x14ac:dyDescent="0.25">
      <c r="A11" s="10" t="s">
        <v>6</v>
      </c>
      <c r="B11" s="11">
        <v>1E-8</v>
      </c>
      <c r="C11" s="6" t="s">
        <v>34</v>
      </c>
    </row>
    <row r="12" spans="1:7" x14ac:dyDescent="0.25">
      <c r="A12" s="10" t="s">
        <v>7</v>
      </c>
      <c r="B12" s="11">
        <v>1E-8</v>
      </c>
      <c r="C12" s="6" t="s">
        <v>24</v>
      </c>
    </row>
    <row r="14" spans="1:7" x14ac:dyDescent="0.25">
      <c r="A14" s="6" t="s">
        <v>27</v>
      </c>
    </row>
    <row r="15" spans="1:7" x14ac:dyDescent="0.25">
      <c r="A15" s="8" t="s">
        <v>25</v>
      </c>
      <c r="B15" s="16">
        <f>$B$8*($B$6+$B$7)/$B$6</f>
        <v>30000</v>
      </c>
      <c r="C15" s="6" t="s">
        <v>15</v>
      </c>
    </row>
    <row r="16" spans="1:7" x14ac:dyDescent="0.25">
      <c r="A16" s="8" t="s">
        <v>26</v>
      </c>
      <c r="B16" s="16">
        <f>-$B$7</f>
        <v>-20000</v>
      </c>
      <c r="C16" s="17" t="s">
        <v>13</v>
      </c>
      <c r="E16" s="2"/>
    </row>
    <row r="18" spans="1:5" x14ac:dyDescent="0.25">
      <c r="A18" s="6" t="s">
        <v>30</v>
      </c>
    </row>
    <row r="19" spans="1:5" x14ac:dyDescent="0.25">
      <c r="A19" s="8" t="s">
        <v>10</v>
      </c>
      <c r="B19" s="11">
        <f>B11*B15</f>
        <v>3.0000000000000003E-4</v>
      </c>
      <c r="C19" s="6" t="s">
        <v>31</v>
      </c>
      <c r="E19" s="2"/>
    </row>
    <row r="20" spans="1:5" x14ac:dyDescent="0.25">
      <c r="A20" s="8" t="s">
        <v>11</v>
      </c>
      <c r="B20" s="11">
        <f>B12*B16</f>
        <v>-2.0000000000000001E-4</v>
      </c>
      <c r="C20" s="6" t="s">
        <v>32</v>
      </c>
    </row>
    <row r="21" spans="1:5" x14ac:dyDescent="0.25">
      <c r="A21" s="8" t="s">
        <v>16</v>
      </c>
      <c r="B21" s="11">
        <f>B19+B20</f>
        <v>1.0000000000000002E-4</v>
      </c>
      <c r="C21" s="6" t="s">
        <v>12</v>
      </c>
    </row>
    <row r="23" spans="1:5" x14ac:dyDescent="0.25">
      <c r="A23" s="6" t="s">
        <v>14</v>
      </c>
    </row>
    <row r="24" spans="1:5" x14ac:dyDescent="0.25">
      <c r="A24" s="8" t="s">
        <v>8</v>
      </c>
      <c r="B24" s="4">
        <f>1/(1/$B$6+1/$B$7)</f>
        <v>6666.6666666666661</v>
      </c>
      <c r="C24" s="6" t="s">
        <v>35</v>
      </c>
    </row>
    <row r="25" spans="1:5" x14ac:dyDescent="0.25">
      <c r="C25" s="6" t="s">
        <v>36</v>
      </c>
    </row>
    <row r="26" spans="1:5" x14ac:dyDescent="0.25">
      <c r="C26" s="6" t="s">
        <v>17</v>
      </c>
    </row>
  </sheetData>
  <pageMargins left="0.75" right="0.75" top="1" bottom="1" header="0.5" footer="0.5"/>
  <pageSetup paperSize="3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CF17E-4C9C-4468-9E95-DFD2EF57785C}">
  <dimension ref="A1:M54"/>
  <sheetViews>
    <sheetView zoomScaleNormal="100" workbookViewId="0">
      <selection activeCell="H51" sqref="H51"/>
    </sheetView>
  </sheetViews>
  <sheetFormatPr defaultColWidth="8.88671875" defaultRowHeight="13.8" x14ac:dyDescent="0.25"/>
  <cols>
    <col min="1" max="1" width="11.77734375" style="43" customWidth="1"/>
    <col min="2" max="2" width="14" style="43" customWidth="1"/>
    <col min="3" max="3" width="11.6640625" style="43" customWidth="1"/>
    <col min="4" max="4" width="8.44140625" style="43" customWidth="1"/>
    <col min="5" max="5" width="9.109375" style="43" customWidth="1"/>
    <col min="6" max="6" width="10.44140625" style="43" customWidth="1"/>
    <col min="7" max="7" width="25.21875" style="43" customWidth="1"/>
    <col min="8" max="8" width="37.21875" style="43" customWidth="1"/>
    <col min="9" max="9" width="11.109375" style="43" customWidth="1"/>
    <col min="10" max="16384" width="8.88671875" style="43"/>
  </cols>
  <sheetData>
    <row r="1" spans="1:13" ht="15.6" x14ac:dyDescent="0.3">
      <c r="A1" s="42" t="s">
        <v>126</v>
      </c>
      <c r="L1" s="44"/>
      <c r="M1" s="45" t="s">
        <v>127</v>
      </c>
    </row>
    <row r="2" spans="1:13" x14ac:dyDescent="0.25">
      <c r="A2" s="46" t="s">
        <v>120</v>
      </c>
      <c r="B2" s="47"/>
      <c r="C2" s="45"/>
      <c r="D2" s="45"/>
      <c r="E2" s="45"/>
      <c r="F2" s="45"/>
      <c r="G2" s="45"/>
      <c r="H2" s="45"/>
      <c r="I2" s="45"/>
      <c r="L2" s="48"/>
      <c r="M2" s="45" t="s">
        <v>128</v>
      </c>
    </row>
    <row r="3" spans="1:13" x14ac:dyDescent="0.25">
      <c r="A3" s="46"/>
      <c r="B3" s="47"/>
      <c r="C3" s="45"/>
      <c r="D3" s="45"/>
      <c r="E3" s="45"/>
      <c r="F3" s="45"/>
      <c r="G3" s="45"/>
      <c r="H3" s="45"/>
      <c r="I3" s="45"/>
      <c r="K3" s="45"/>
    </row>
    <row r="4" spans="1:13" x14ac:dyDescent="0.25">
      <c r="A4" s="45" t="s">
        <v>129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3" x14ac:dyDescent="0.25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3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13" x14ac:dyDescent="0.25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</row>
    <row r="8" spans="1:13" x14ac:dyDescent="0.25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</row>
    <row r="9" spans="1:13" x14ac:dyDescent="0.2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</row>
    <row r="10" spans="1:13" x14ac:dyDescent="0.25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</row>
    <row r="11" spans="1:13" x14ac:dyDescent="0.25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1:13" x14ac:dyDescent="0.25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</row>
    <row r="13" spans="1:13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3" x14ac:dyDescent="0.25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</row>
    <row r="15" spans="1:13" x14ac:dyDescent="0.25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</row>
    <row r="16" spans="1:13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</row>
    <row r="17" spans="1:11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</row>
    <row r="18" spans="1:11" x14ac:dyDescent="0.25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</row>
    <row r="19" spans="1:11" x14ac:dyDescent="0.25">
      <c r="A19" s="49" t="s">
        <v>130</v>
      </c>
      <c r="B19" s="50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25">
      <c r="A20" s="44" t="s">
        <v>131</v>
      </c>
      <c r="B20" s="51">
        <v>50</v>
      </c>
      <c r="C20" s="45" t="s">
        <v>132</v>
      </c>
      <c r="D20" s="45"/>
      <c r="E20" s="45"/>
      <c r="F20" s="45"/>
      <c r="G20" s="45"/>
      <c r="H20" s="45"/>
      <c r="I20" s="45"/>
      <c r="J20" s="45"/>
      <c r="K20" s="45"/>
    </row>
    <row r="21" spans="1:11" x14ac:dyDescent="0.25">
      <c r="A21" s="44" t="s">
        <v>133</v>
      </c>
      <c r="B21" s="51">
        <v>8</v>
      </c>
      <c r="C21" s="45" t="s">
        <v>134</v>
      </c>
      <c r="D21" s="45"/>
      <c r="E21" s="45"/>
      <c r="F21" s="45"/>
      <c r="J21" s="45"/>
      <c r="K21" s="45"/>
    </row>
    <row r="22" spans="1:11" x14ac:dyDescent="0.25">
      <c r="A22" s="44" t="s">
        <v>135</v>
      </c>
      <c r="B22" s="50">
        <v>2.1999999999999998E-8</v>
      </c>
      <c r="C22" s="45" t="s">
        <v>136</v>
      </c>
      <c r="D22" s="45"/>
      <c r="E22" s="45"/>
      <c r="F22" s="45"/>
      <c r="H22" s="45"/>
      <c r="I22" s="45"/>
      <c r="J22" s="45"/>
      <c r="K22" s="45"/>
    </row>
    <row r="23" spans="1:11" x14ac:dyDescent="0.25">
      <c r="B23" s="50"/>
      <c r="C23" s="45"/>
      <c r="D23" s="45"/>
      <c r="E23" s="45"/>
      <c r="F23" s="45"/>
      <c r="H23" s="45"/>
      <c r="I23" s="45"/>
      <c r="J23" s="45"/>
      <c r="K23" s="45"/>
    </row>
    <row r="24" spans="1:11" x14ac:dyDescent="0.25">
      <c r="A24" s="52" t="s">
        <v>137</v>
      </c>
      <c r="B24" s="50"/>
      <c r="C24" s="45"/>
      <c r="D24" s="45"/>
      <c r="E24" s="45"/>
      <c r="F24" s="45"/>
      <c r="H24" s="45"/>
      <c r="I24" s="45"/>
      <c r="J24" s="45"/>
      <c r="K24" s="45"/>
    </row>
    <row r="25" spans="1:11" x14ac:dyDescent="0.25">
      <c r="A25" s="45" t="s">
        <v>138</v>
      </c>
      <c r="B25" s="50"/>
      <c r="C25" s="53" t="s">
        <v>139</v>
      </c>
      <c r="D25" s="45"/>
      <c r="E25" s="45"/>
      <c r="F25" s="45"/>
      <c r="H25" s="45"/>
      <c r="I25" s="45"/>
      <c r="J25" s="45"/>
      <c r="K25" s="45"/>
    </row>
    <row r="26" spans="1:11" x14ac:dyDescent="0.25">
      <c r="A26" s="31" t="s">
        <v>140</v>
      </c>
      <c r="B26" s="54">
        <f>1/(2*PI()*$B$20*$B$22)</f>
        <v>144686.31190172303</v>
      </c>
      <c r="C26" s="55" t="s">
        <v>141</v>
      </c>
      <c r="D26" s="45"/>
      <c r="E26" s="45"/>
      <c r="H26" s="45"/>
      <c r="I26" s="45"/>
      <c r="J26" s="45"/>
      <c r="K26" s="45"/>
    </row>
    <row r="27" spans="1:11" x14ac:dyDescent="0.25">
      <c r="B27" s="50"/>
      <c r="C27" s="55"/>
      <c r="D27" s="45"/>
      <c r="E27" s="45"/>
      <c r="F27" s="45"/>
      <c r="H27" s="45"/>
      <c r="I27" s="45"/>
      <c r="J27" s="45"/>
      <c r="K27" s="45"/>
    </row>
    <row r="28" spans="1:11" x14ac:dyDescent="0.25">
      <c r="A28" s="52" t="s">
        <v>142</v>
      </c>
      <c r="B28" s="50"/>
      <c r="C28" s="55"/>
      <c r="D28" s="45"/>
      <c r="E28" s="45"/>
      <c r="F28" s="45"/>
      <c r="H28" s="45"/>
      <c r="I28" s="45"/>
      <c r="J28" s="45"/>
      <c r="K28" s="45"/>
    </row>
    <row r="29" spans="1:11" x14ac:dyDescent="0.25">
      <c r="A29" s="45" t="s">
        <v>143</v>
      </c>
      <c r="B29" s="50"/>
      <c r="C29" s="53" t="s">
        <v>139</v>
      </c>
      <c r="D29" s="45"/>
      <c r="E29" s="45"/>
      <c r="F29" s="45"/>
      <c r="H29" s="45"/>
      <c r="I29" s="45"/>
      <c r="J29" s="45"/>
      <c r="K29" s="45"/>
    </row>
    <row r="30" spans="1:11" x14ac:dyDescent="0.25">
      <c r="A30" s="31" t="s">
        <v>144</v>
      </c>
      <c r="B30" s="54">
        <f>1/(2*PI()*($B$20+$B$21)*$B$22)</f>
        <v>124729.57922562331</v>
      </c>
      <c r="C30" s="55" t="s">
        <v>145</v>
      </c>
      <c r="D30" s="45"/>
      <c r="E30" s="45"/>
      <c r="F30" s="45"/>
      <c r="H30" s="45"/>
      <c r="I30" s="45"/>
      <c r="J30" s="45"/>
      <c r="K30" s="45"/>
    </row>
    <row r="32" spans="1:11" x14ac:dyDescent="0.25">
      <c r="A32" s="45" t="s">
        <v>146</v>
      </c>
      <c r="B32" s="50"/>
      <c r="C32" s="53" t="s">
        <v>147</v>
      </c>
      <c r="D32" s="45"/>
      <c r="E32" s="45"/>
      <c r="F32" s="45"/>
      <c r="H32" s="45"/>
      <c r="I32" s="45"/>
      <c r="J32" s="45"/>
      <c r="K32" s="45"/>
    </row>
    <row r="33" spans="1:11" x14ac:dyDescent="0.25">
      <c r="A33" s="31" t="s">
        <v>148</v>
      </c>
      <c r="B33" s="54">
        <f>1/(2*PI()*$B$21*$B$22)</f>
        <v>904289.44938576908</v>
      </c>
      <c r="C33" s="55" t="s">
        <v>149</v>
      </c>
      <c r="D33" s="45"/>
      <c r="E33" s="45"/>
      <c r="F33" s="45"/>
      <c r="H33" s="45"/>
      <c r="I33" s="45"/>
      <c r="J33" s="45"/>
      <c r="K33" s="45"/>
    </row>
    <row r="34" spans="1:11" x14ac:dyDescent="0.25">
      <c r="A34" s="45"/>
      <c r="B34" s="51" t="s">
        <v>150</v>
      </c>
      <c r="C34" s="45"/>
      <c r="D34" s="45"/>
      <c r="E34" s="45"/>
      <c r="F34" s="45"/>
      <c r="H34" s="45"/>
      <c r="I34" s="45"/>
      <c r="J34" s="45"/>
      <c r="K34" s="45"/>
    </row>
    <row r="35" spans="1:11" x14ac:dyDescent="0.25">
      <c r="A35" s="43" t="s">
        <v>151</v>
      </c>
    </row>
    <row r="36" spans="1:11" x14ac:dyDescent="0.25">
      <c r="A36" s="31" t="s">
        <v>152</v>
      </c>
      <c r="B36" s="56">
        <f>B33/B30</f>
        <v>7.2500000000000009</v>
      </c>
      <c r="C36" s="55"/>
    </row>
    <row r="40" spans="1:11" x14ac:dyDescent="0.25">
      <c r="A40" s="45" t="s">
        <v>153</v>
      </c>
      <c r="B40" s="50"/>
      <c r="C40" s="53"/>
    </row>
    <row r="41" spans="1:11" x14ac:dyDescent="0.25">
      <c r="A41" s="57" t="s">
        <v>133</v>
      </c>
      <c r="B41" s="51">
        <v>8</v>
      </c>
      <c r="C41" s="45" t="s">
        <v>134</v>
      </c>
      <c r="D41" s="45"/>
      <c r="E41" s="45"/>
      <c r="F41" s="45"/>
      <c r="J41" s="45"/>
      <c r="K41" s="45"/>
    </row>
    <row r="42" spans="1:11" x14ac:dyDescent="0.25">
      <c r="A42" s="57" t="s">
        <v>135</v>
      </c>
      <c r="B42" s="50">
        <v>2.1999999999999998E-8</v>
      </c>
      <c r="C42" s="45" t="s">
        <v>136</v>
      </c>
      <c r="D42" s="45"/>
      <c r="E42" s="45"/>
      <c r="F42" s="45"/>
      <c r="H42" s="45"/>
      <c r="I42" s="45"/>
      <c r="J42" s="45"/>
      <c r="K42" s="45"/>
    </row>
    <row r="43" spans="1:11" x14ac:dyDescent="0.25">
      <c r="B43" s="54"/>
      <c r="C43" s="45"/>
      <c r="D43" s="45"/>
      <c r="E43" s="45"/>
      <c r="F43" s="45"/>
      <c r="G43" s="45"/>
      <c r="H43" s="45"/>
      <c r="I43" s="45"/>
      <c r="J43" s="45"/>
      <c r="K43" s="45"/>
    </row>
    <row r="44" spans="1:11" x14ac:dyDescent="0.25">
      <c r="A44" s="57" t="s">
        <v>154</v>
      </c>
      <c r="B44" s="54">
        <v>1000</v>
      </c>
      <c r="C44" s="45" t="s">
        <v>155</v>
      </c>
      <c r="D44" s="45"/>
      <c r="E44" s="45"/>
      <c r="F44" s="45"/>
      <c r="G44" s="45"/>
      <c r="H44" s="45"/>
      <c r="I44" s="45"/>
      <c r="J44" s="45"/>
      <c r="K44" s="45"/>
    </row>
    <row r="45" spans="1:11" x14ac:dyDescent="0.25">
      <c r="A45" s="31" t="s">
        <v>156</v>
      </c>
      <c r="B45" s="54">
        <f>$B$41</f>
        <v>8</v>
      </c>
      <c r="C45" s="55" t="s">
        <v>133</v>
      </c>
    </row>
    <row r="46" spans="1:11" x14ac:dyDescent="0.25">
      <c r="A46" s="31" t="s">
        <v>157</v>
      </c>
      <c r="B46" s="54">
        <f>1/(2*PI()*$B$44*$B$42)</f>
        <v>7234.3155950861519</v>
      </c>
      <c r="C46" s="55" t="s">
        <v>158</v>
      </c>
    </row>
    <row r="47" spans="1:11" x14ac:dyDescent="0.25">
      <c r="A47" s="31" t="s">
        <v>159</v>
      </c>
      <c r="B47" s="54">
        <f>(B45^2+B46^2)^0.5</f>
        <v>7234.3200184472562</v>
      </c>
      <c r="C47" s="58" t="s">
        <v>160</v>
      </c>
    </row>
    <row r="48" spans="1:11" ht="14.4" x14ac:dyDescent="0.3">
      <c r="A48" s="31" t="s">
        <v>161</v>
      </c>
      <c r="B48" s="59">
        <f>-ATAN(B46/B45)*180/PI()</f>
        <v>-89.936640025827288</v>
      </c>
      <c r="C48" s="60" t="s">
        <v>162</v>
      </c>
      <c r="E48" s="61" t="s">
        <v>163</v>
      </c>
    </row>
    <row r="50" spans="1:5" x14ac:dyDescent="0.25">
      <c r="A50" s="57" t="s">
        <v>164</v>
      </c>
      <c r="B50" s="54">
        <v>10000000</v>
      </c>
      <c r="C50" s="45" t="s">
        <v>165</v>
      </c>
    </row>
    <row r="51" spans="1:5" x14ac:dyDescent="0.25">
      <c r="A51" s="31" t="s">
        <v>156</v>
      </c>
      <c r="B51" s="54">
        <f>$B$41</f>
        <v>8</v>
      </c>
      <c r="C51" s="55" t="s">
        <v>133</v>
      </c>
    </row>
    <row r="52" spans="1:5" x14ac:dyDescent="0.25">
      <c r="A52" s="31" t="s">
        <v>157</v>
      </c>
      <c r="B52" s="54">
        <f>1/(2*PI()*$B$50*$B$42)</f>
        <v>0.72343155950861526</v>
      </c>
      <c r="C52" s="55" t="s">
        <v>158</v>
      </c>
    </row>
    <row r="53" spans="1:5" x14ac:dyDescent="0.25">
      <c r="A53" s="31" t="s">
        <v>159</v>
      </c>
      <c r="B53" s="54">
        <f>(B51^2+B52^2)^0.5</f>
        <v>8.0326429785776643</v>
      </c>
      <c r="C53" s="58" t="s">
        <v>160</v>
      </c>
    </row>
    <row r="54" spans="1:5" ht="14.4" x14ac:dyDescent="0.3">
      <c r="A54" s="31" t="s">
        <v>161</v>
      </c>
      <c r="B54" s="59">
        <f>-ATAN(B52/B51)*180/PI()</f>
        <v>-5.1671428854454478</v>
      </c>
      <c r="C54" s="60" t="s">
        <v>162</v>
      </c>
      <c r="E54" s="61" t="s">
        <v>166</v>
      </c>
    </row>
  </sheetData>
  <hyperlinks>
    <hyperlink ref="A2" r:id="rId1" xr:uid="{447B6AC9-BD9C-4D74-ABFD-F9283EDD6143}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D1597-D9F6-463C-A99E-C6D514FBB5A9}">
  <dimension ref="A1:G42"/>
  <sheetViews>
    <sheetView zoomScale="115" zoomScaleNormal="115" workbookViewId="0">
      <selection activeCell="H23" sqref="H23"/>
    </sheetView>
  </sheetViews>
  <sheetFormatPr defaultColWidth="9.109375" defaultRowHeight="13.2" x14ac:dyDescent="0.25"/>
  <cols>
    <col min="1" max="1" width="14.6640625" style="63" customWidth="1"/>
    <col min="2" max="2" width="13" style="63" customWidth="1"/>
    <col min="3" max="10" width="9.109375" style="63"/>
    <col min="11" max="11" width="31" style="63" customWidth="1"/>
    <col min="12" max="16384" width="9.109375" style="63"/>
  </cols>
  <sheetData>
    <row r="1" spans="1:7" x14ac:dyDescent="0.25">
      <c r="A1" s="62" t="s">
        <v>167</v>
      </c>
      <c r="D1" s="64"/>
    </row>
    <row r="2" spans="1:7" x14ac:dyDescent="0.25">
      <c r="B2" s="62"/>
      <c r="E2" s="65"/>
      <c r="F2" s="63" t="s">
        <v>127</v>
      </c>
    </row>
    <row r="3" spans="1:7" x14ac:dyDescent="0.25">
      <c r="B3" s="62"/>
      <c r="E3" s="66"/>
      <c r="F3" s="63" t="s">
        <v>128</v>
      </c>
    </row>
    <row r="4" spans="1:7" x14ac:dyDescent="0.25">
      <c r="B4" s="62"/>
      <c r="D4" s="64"/>
    </row>
    <row r="5" spans="1:7" x14ac:dyDescent="0.25">
      <c r="A5" s="62"/>
      <c r="B5" s="64"/>
      <c r="D5" s="64"/>
      <c r="E5" s="64"/>
      <c r="F5" s="64"/>
      <c r="G5" s="67"/>
    </row>
    <row r="6" spans="1:7" x14ac:dyDescent="0.25">
      <c r="A6" s="62"/>
      <c r="B6" s="64"/>
      <c r="D6" s="64"/>
      <c r="E6" s="64"/>
      <c r="F6" s="64"/>
      <c r="G6" s="67"/>
    </row>
    <row r="7" spans="1:7" x14ac:dyDescent="0.25">
      <c r="A7" s="62"/>
      <c r="B7" s="64"/>
      <c r="D7" s="64"/>
      <c r="E7" s="64"/>
      <c r="F7" s="64"/>
      <c r="G7" s="67"/>
    </row>
    <row r="8" spans="1:7" x14ac:dyDescent="0.25">
      <c r="B8" s="62"/>
      <c r="D8" s="64"/>
    </row>
    <row r="9" spans="1:7" x14ac:dyDescent="0.25">
      <c r="B9" s="62"/>
      <c r="D9" s="64"/>
    </row>
    <row r="10" spans="1:7" x14ac:dyDescent="0.25">
      <c r="B10" s="62"/>
      <c r="D10" s="64"/>
    </row>
    <row r="11" spans="1:7" x14ac:dyDescent="0.25">
      <c r="B11" s="62"/>
      <c r="D11" s="64"/>
    </row>
    <row r="12" spans="1:7" x14ac:dyDescent="0.25">
      <c r="B12" s="62"/>
      <c r="D12" s="64"/>
    </row>
    <row r="21" spans="1:5" x14ac:dyDescent="0.25">
      <c r="A21" s="64" t="s">
        <v>129</v>
      </c>
    </row>
    <row r="22" spans="1:5" x14ac:dyDescent="0.25">
      <c r="A22" s="65" t="s">
        <v>0</v>
      </c>
      <c r="B22" s="68">
        <v>200000</v>
      </c>
      <c r="C22" s="64"/>
      <c r="E22" s="64"/>
    </row>
    <row r="23" spans="1:5" x14ac:dyDescent="0.25">
      <c r="A23" s="65" t="s">
        <v>1</v>
      </c>
      <c r="B23" s="68">
        <v>200000</v>
      </c>
      <c r="C23" s="64"/>
    </row>
    <row r="24" spans="1:5" x14ac:dyDescent="0.25">
      <c r="A24" s="65" t="s">
        <v>168</v>
      </c>
      <c r="B24" s="69">
        <v>1E-13</v>
      </c>
      <c r="C24" s="64" t="s">
        <v>169</v>
      </c>
      <c r="E24" s="64"/>
    </row>
    <row r="25" spans="1:5" x14ac:dyDescent="0.25">
      <c r="A25" s="65" t="s">
        <v>170</v>
      </c>
      <c r="B25" s="69">
        <v>9.9999999999999998E-13</v>
      </c>
      <c r="C25" s="64" t="s">
        <v>171</v>
      </c>
      <c r="E25" s="64"/>
    </row>
    <row r="26" spans="1:5" x14ac:dyDescent="0.25">
      <c r="B26" s="70"/>
      <c r="C26" s="64"/>
    </row>
    <row r="27" spans="1:5" x14ac:dyDescent="0.25">
      <c r="B27" s="71"/>
      <c r="C27" s="64"/>
    </row>
    <row r="28" spans="1:5" x14ac:dyDescent="0.25">
      <c r="A28" s="64" t="s">
        <v>172</v>
      </c>
      <c r="C28" s="64"/>
    </row>
    <row r="29" spans="1:5" x14ac:dyDescent="0.25">
      <c r="A29" s="66" t="s">
        <v>173</v>
      </c>
      <c r="B29" s="72">
        <f>B23/(B23+B22)</f>
        <v>0.5</v>
      </c>
      <c r="C29" s="64" t="s">
        <v>49</v>
      </c>
    </row>
    <row r="30" spans="1:5" x14ac:dyDescent="0.25">
      <c r="B30" s="73"/>
    </row>
    <row r="31" spans="1:5" x14ac:dyDescent="0.25">
      <c r="A31" s="64" t="s">
        <v>174</v>
      </c>
      <c r="C31" s="64"/>
    </row>
    <row r="32" spans="1:5" x14ac:dyDescent="0.25">
      <c r="A32" s="66" t="s">
        <v>46</v>
      </c>
      <c r="B32" s="72">
        <f>(B22+B23)/B22</f>
        <v>2</v>
      </c>
      <c r="C32" s="64" t="s">
        <v>175</v>
      </c>
    </row>
    <row r="34" spans="1:3" x14ac:dyDescent="0.25">
      <c r="A34" s="64" t="s">
        <v>176</v>
      </c>
    </row>
    <row r="35" spans="1:3" x14ac:dyDescent="0.25">
      <c r="A35" s="66" t="s">
        <v>177</v>
      </c>
      <c r="B35" s="69">
        <f>B22*B24</f>
        <v>2E-8</v>
      </c>
      <c r="C35" s="63" t="s">
        <v>178</v>
      </c>
    </row>
    <row r="36" spans="1:3" x14ac:dyDescent="0.25">
      <c r="A36" s="66" t="s">
        <v>179</v>
      </c>
      <c r="B36" s="69">
        <f>B23*B25</f>
        <v>1.9999999999999999E-7</v>
      </c>
      <c r="C36" s="63" t="s">
        <v>180</v>
      </c>
    </row>
    <row r="39" spans="1:3" x14ac:dyDescent="0.25">
      <c r="A39" s="64" t="s">
        <v>181</v>
      </c>
    </row>
    <row r="40" spans="1:3" x14ac:dyDescent="0.25">
      <c r="A40" s="66" t="s">
        <v>182</v>
      </c>
      <c r="B40" s="69">
        <f>B36/B22</f>
        <v>9.9999999999999998E-13</v>
      </c>
      <c r="C40" s="64" t="s">
        <v>183</v>
      </c>
    </row>
    <row r="41" spans="1:3" x14ac:dyDescent="0.25">
      <c r="A41" s="64"/>
      <c r="C41" s="64" t="s">
        <v>184</v>
      </c>
    </row>
    <row r="42" spans="1:3" x14ac:dyDescent="0.25">
      <c r="A42" s="64"/>
      <c r="C42" s="64" t="s">
        <v>185</v>
      </c>
    </row>
  </sheetData>
  <pageMargins left="0.75" right="0.75" top="1" bottom="1" header="0.5" footer="0.5"/>
  <pageSetup paperSize="3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86587-AD6B-4456-A5E7-4C26E68F1DBB}">
  <dimension ref="A1:G35"/>
  <sheetViews>
    <sheetView zoomScaleNormal="100" workbookViewId="0">
      <selection activeCell="H26" sqref="H26"/>
    </sheetView>
  </sheetViews>
  <sheetFormatPr defaultColWidth="9.109375" defaultRowHeight="13.2" x14ac:dyDescent="0.25"/>
  <cols>
    <col min="1" max="1" width="24.21875" style="63" customWidth="1"/>
    <col min="2" max="2" width="13" style="63" customWidth="1"/>
    <col min="3" max="10" width="9.109375" style="63"/>
    <col min="11" max="11" width="31" style="63" customWidth="1"/>
    <col min="12" max="16384" width="9.109375" style="63"/>
  </cols>
  <sheetData>
    <row r="1" spans="1:7" x14ac:dyDescent="0.25">
      <c r="A1" s="62" t="s">
        <v>186</v>
      </c>
      <c r="D1" s="64"/>
    </row>
    <row r="2" spans="1:7" x14ac:dyDescent="0.25">
      <c r="B2" s="62"/>
      <c r="D2" s="64"/>
      <c r="E2" s="65"/>
      <c r="F2" s="63" t="s">
        <v>127</v>
      </c>
    </row>
    <row r="3" spans="1:7" x14ac:dyDescent="0.25">
      <c r="B3" s="62"/>
      <c r="D3" s="64"/>
      <c r="E3" s="66"/>
      <c r="F3" s="63" t="s">
        <v>128</v>
      </c>
    </row>
    <row r="4" spans="1:7" ht="14.4" x14ac:dyDescent="0.3">
      <c r="B4" s="74"/>
      <c r="D4" s="64"/>
    </row>
    <row r="5" spans="1:7" ht="14.4" x14ac:dyDescent="0.3">
      <c r="A5" s="74"/>
      <c r="B5" s="64"/>
      <c r="D5" s="64"/>
      <c r="E5" s="64"/>
      <c r="F5" s="64"/>
      <c r="G5" s="67"/>
    </row>
    <row r="6" spans="1:7" x14ac:dyDescent="0.25">
      <c r="A6" s="62"/>
      <c r="B6" s="64"/>
      <c r="D6" s="64"/>
      <c r="E6" s="64"/>
      <c r="F6" s="64"/>
      <c r="G6" s="67"/>
    </row>
    <row r="7" spans="1:7" x14ac:dyDescent="0.25">
      <c r="A7" s="62"/>
      <c r="B7" s="64"/>
      <c r="D7" s="64"/>
      <c r="E7" s="64"/>
      <c r="F7" s="64"/>
      <c r="G7" s="67"/>
    </row>
    <row r="8" spans="1:7" x14ac:dyDescent="0.25">
      <c r="A8" s="62"/>
      <c r="B8" s="64"/>
      <c r="D8" s="64"/>
      <c r="E8" s="64"/>
      <c r="F8" s="64"/>
      <c r="G8" s="67"/>
    </row>
    <row r="9" spans="1:7" x14ac:dyDescent="0.25">
      <c r="A9" s="62"/>
      <c r="B9" s="64"/>
      <c r="D9" s="64"/>
      <c r="E9" s="64"/>
      <c r="F9" s="64"/>
      <c r="G9" s="67"/>
    </row>
    <row r="10" spans="1:7" x14ac:dyDescent="0.25">
      <c r="A10" s="62"/>
      <c r="B10" s="64"/>
      <c r="D10" s="64"/>
      <c r="E10" s="64"/>
      <c r="F10" s="64"/>
      <c r="G10" s="67"/>
    </row>
    <row r="11" spans="1:7" x14ac:dyDescent="0.25">
      <c r="B11" s="62"/>
      <c r="D11" s="64"/>
    </row>
    <row r="12" spans="1:7" x14ac:dyDescent="0.25">
      <c r="B12" s="62"/>
      <c r="D12" s="64"/>
    </row>
    <row r="13" spans="1:7" x14ac:dyDescent="0.25">
      <c r="B13" s="62"/>
      <c r="D13" s="64"/>
    </row>
    <row r="14" spans="1:7" x14ac:dyDescent="0.25">
      <c r="B14" s="62"/>
      <c r="D14" s="64"/>
    </row>
    <row r="15" spans="1:7" x14ac:dyDescent="0.25">
      <c r="B15" s="62"/>
      <c r="D15" s="64"/>
    </row>
    <row r="16" spans="1:7" x14ac:dyDescent="0.25">
      <c r="B16" s="62"/>
      <c r="D16" s="64"/>
    </row>
    <row r="17" spans="1:5" x14ac:dyDescent="0.25">
      <c r="B17" s="62"/>
      <c r="D17" s="64"/>
    </row>
    <row r="18" spans="1:5" x14ac:dyDescent="0.25">
      <c r="B18" s="62"/>
      <c r="D18" s="64"/>
    </row>
    <row r="19" spans="1:5" x14ac:dyDescent="0.25">
      <c r="B19" s="62"/>
      <c r="D19" s="64"/>
    </row>
    <row r="22" spans="1:5" x14ac:dyDescent="0.25">
      <c r="A22" s="64" t="s">
        <v>129</v>
      </c>
    </row>
    <row r="23" spans="1:5" x14ac:dyDescent="0.25">
      <c r="A23" s="75" t="s">
        <v>63</v>
      </c>
      <c r="B23" s="68">
        <v>1000000</v>
      </c>
      <c r="C23" s="64" t="s">
        <v>187</v>
      </c>
      <c r="E23" s="64"/>
    </row>
    <row r="24" spans="1:5" x14ac:dyDescent="0.25">
      <c r="A24" s="75" t="s">
        <v>188</v>
      </c>
      <c r="B24" s="68">
        <v>3000000</v>
      </c>
      <c r="C24" s="64" t="s">
        <v>189</v>
      </c>
    </row>
    <row r="25" spans="1:5" x14ac:dyDescent="0.25">
      <c r="B25" s="70"/>
      <c r="C25" s="64"/>
    </row>
    <row r="26" spans="1:5" x14ac:dyDescent="0.25">
      <c r="A26" s="64" t="s">
        <v>190</v>
      </c>
      <c r="B26" s="73"/>
      <c r="C26" s="64"/>
    </row>
    <row r="27" spans="1:5" ht="13.8" x14ac:dyDescent="0.25">
      <c r="A27" s="76" t="s">
        <v>191</v>
      </c>
      <c r="B27" s="71">
        <f xml:space="preserve"> -ATAN($B$23/ $B$24)*180/PI()*2</f>
        <v>-36.86989764584402</v>
      </c>
      <c r="C27" s="77" t="s">
        <v>192</v>
      </c>
      <c r="E27" s="64"/>
    </row>
    <row r="29" spans="1:5" x14ac:dyDescent="0.25">
      <c r="A29" s="64" t="s">
        <v>193</v>
      </c>
      <c r="C29" s="64"/>
    </row>
    <row r="30" spans="1:5" ht="13.8" x14ac:dyDescent="0.25">
      <c r="A30" s="76" t="s">
        <v>194</v>
      </c>
      <c r="B30" s="71">
        <f xml:space="preserve"> 90-ATAN($B$23/ $B$24)*180/PI()*2</f>
        <v>53.13010235415598</v>
      </c>
      <c r="C30" s="77" t="s">
        <v>195</v>
      </c>
    </row>
    <row r="31" spans="1:5" x14ac:dyDescent="0.25">
      <c r="A31" s="64"/>
    </row>
    <row r="33" spans="1:3" x14ac:dyDescent="0.25">
      <c r="A33" s="64" t="s">
        <v>196</v>
      </c>
    </row>
    <row r="34" spans="1:3" x14ac:dyDescent="0.25">
      <c r="A34" s="75" t="s">
        <v>197</v>
      </c>
      <c r="B34" s="71">
        <v>60</v>
      </c>
    </row>
    <row r="35" spans="1:3" ht="13.8" x14ac:dyDescent="0.25">
      <c r="A35" s="76" t="s">
        <v>198</v>
      </c>
      <c r="B35" s="68">
        <f xml:space="preserve"> $B$23/TAN( -($B$34-90)/2*(PI()/180) )</f>
        <v>3732050.8075688775</v>
      </c>
      <c r="C35" s="77" t="s">
        <v>199</v>
      </c>
    </row>
  </sheetData>
  <pageMargins left="0.75" right="0.75" top="1" bottom="1" header="0.5" footer="0.5"/>
  <pageSetup paperSize="3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13946-6CC1-4B3D-ABED-BC737E5283B4}">
  <dimension ref="A1:B14"/>
  <sheetViews>
    <sheetView workbookViewId="0">
      <selection activeCell="H18" sqref="H18"/>
    </sheetView>
  </sheetViews>
  <sheetFormatPr defaultRowHeight="13.2" x14ac:dyDescent="0.25"/>
  <cols>
    <col min="1" max="1" width="5.6640625" customWidth="1"/>
  </cols>
  <sheetData>
    <row r="1" spans="1:2" ht="15.6" x14ac:dyDescent="0.3">
      <c r="A1" s="40" t="s">
        <v>119</v>
      </c>
    </row>
    <row r="7" spans="1:2" x14ac:dyDescent="0.25">
      <c r="A7" t="s">
        <v>125</v>
      </c>
    </row>
    <row r="8" spans="1:2" x14ac:dyDescent="0.25">
      <c r="B8" s="41" t="s">
        <v>120</v>
      </c>
    </row>
    <row r="10" spans="1:2" x14ac:dyDescent="0.25">
      <c r="A10" t="s">
        <v>121</v>
      </c>
    </row>
    <row r="11" spans="1:2" x14ac:dyDescent="0.25">
      <c r="B11" s="41" t="s">
        <v>122</v>
      </c>
    </row>
    <row r="13" spans="1:2" x14ac:dyDescent="0.25">
      <c r="A13" t="s">
        <v>123</v>
      </c>
    </row>
    <row r="14" spans="1:2" x14ac:dyDescent="0.25">
      <c r="B14" s="41" t="s">
        <v>124</v>
      </c>
    </row>
  </sheetData>
  <hyperlinks>
    <hyperlink ref="B8" r:id="rId1" xr:uid="{76082B91-C559-4D11-8BB8-73B8B2B31C64}"/>
    <hyperlink ref="B11" r:id="rId2" xr:uid="{922CCEB0-DCD3-45A7-B698-B48FD111006C}"/>
    <hyperlink ref="B14" r:id="rId3" xr:uid="{ED62E754-4B98-4E47-B0D7-A5CA5220E975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Aol</vt:lpstr>
      <vt:lpstr>fu (bw)</vt:lpstr>
      <vt:lpstr>slew rate</vt:lpstr>
      <vt:lpstr>ilim</vt:lpstr>
      <vt:lpstr>vlim</vt:lpstr>
      <vt:lpstr>Voff Error</vt:lpstr>
      <vt:lpstr>Ibias Error</vt:lpstr>
      <vt:lpstr>Ro, CLoad, Riso</vt:lpstr>
      <vt:lpstr>Cstray, Ccomp</vt:lpstr>
      <vt:lpstr>fp23</vt:lpstr>
      <vt:lpstr>ecircuit links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Rick Faehnrich</cp:lastModifiedBy>
  <cp:lastPrinted>2008-02-27T22:26:45Z</cp:lastPrinted>
  <dcterms:created xsi:type="dcterms:W3CDTF">1996-10-14T23:33:28Z</dcterms:created>
  <dcterms:modified xsi:type="dcterms:W3CDTF">2026-09-05T14:52:43Z</dcterms:modified>
</cp:coreProperties>
</file>